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comments10.xml><?xml version="1.0" encoding="utf-8"?>
<comments xmlns="http://schemas.openxmlformats.org/spreadsheetml/2006/main">
  <authors>
    <author>ivana.aksentijevic</author>
  </authors>
  <commentList>
    <comment ref="E41" authorId="0">
      <text>
        <r>
          <rPr>
            <sz val="8"/>
            <rFont val="Tahoma"/>
            <family val="0"/>
          </rPr>
          <t xml:space="preserve">RN.05-217573
22,54  VODA   
6,56  KANAL
= 2870,88
</t>
        </r>
      </text>
    </comment>
  </commentList>
</comments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<sst xmlns="http://schemas.openxmlformats.org/spreadsheetml/2006/main" count="1255" uniqueCount="117">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</sst>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</numFmts>
  <fonts count="32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75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5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24" borderId="0" xfId="0" applyNumberFormat="1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94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94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4" fontId="2" fillId="0" borderId="80" xfId="0" applyNumberFormat="1" applyFont="1" applyBorder="1" applyAlignment="1">
      <alignment horizontal="center" vertical="center"/>
    </xf>
    <xf numFmtId="4" fontId="2" fillId="0" borderId="8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" fontId="0" fillId="0" borderId="80" xfId="0" applyNumberFormat="1" applyBorder="1" applyAlignment="1">
      <alignment horizontal="center" vertical="center"/>
    </xf>
    <xf numFmtId="4" fontId="0" fillId="0" borderId="81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7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7">
      <selection activeCell="D31" sqref="D31:D32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4.25" customHeight="1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4.25" customHeight="1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4.25" customHeight="1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283" t="s">
        <v>27</v>
      </c>
      <c r="H9" s="284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4.25" customHeight="1" thickBot="1">
      <c r="A10" s="312"/>
      <c r="B10" s="323"/>
      <c r="C10" s="324"/>
      <c r="D10" s="309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25" t="s">
        <v>16</v>
      </c>
      <c r="B11" s="94" t="s">
        <v>95</v>
      </c>
      <c r="C11" s="208">
        <f>3748</f>
        <v>3748</v>
      </c>
      <c r="D11" s="214">
        <f>(4.98+2.745+0.093)*1.075</f>
        <v>8.40435</v>
      </c>
      <c r="E11" s="322">
        <f>300+200</f>
        <v>500</v>
      </c>
      <c r="F11" s="326">
        <v>25.76</v>
      </c>
      <c r="G11" s="319">
        <f>671518.89/1.1/12.33</f>
        <v>49511.08825481088</v>
      </c>
      <c r="H11" s="330">
        <v>12.33</v>
      </c>
      <c r="I11" s="7"/>
      <c r="J11" s="8"/>
      <c r="K11" s="7"/>
      <c r="L11" s="8"/>
      <c r="M11" s="7"/>
      <c r="N11" s="8"/>
    </row>
    <row r="12" spans="1:14" ht="14.25" customHeight="1">
      <c r="A12" s="338"/>
      <c r="B12" s="95" t="s">
        <v>112</v>
      </c>
      <c r="C12" s="90">
        <f>17.25*2</f>
        <v>34.5</v>
      </c>
      <c r="D12" s="215">
        <f>46.514*1.075</f>
        <v>50.00255</v>
      </c>
      <c r="E12" s="340"/>
      <c r="F12" s="336"/>
      <c r="G12" s="320"/>
      <c r="H12" s="336"/>
      <c r="I12" s="7"/>
      <c r="J12" s="8"/>
      <c r="K12" s="7"/>
      <c r="L12" s="8"/>
      <c r="M12" s="7"/>
      <c r="N12" s="8"/>
    </row>
    <row r="13" spans="1:14" ht="14.25" customHeight="1">
      <c r="A13" s="337" t="s">
        <v>17</v>
      </c>
      <c r="B13" s="97" t="s">
        <v>95</v>
      </c>
      <c r="C13" s="134">
        <f>3960+1155</f>
        <v>5115</v>
      </c>
      <c r="D13" s="214">
        <f>(4.98+2.745+0.093)*1.075</f>
        <v>8.40435</v>
      </c>
      <c r="E13" s="339">
        <v>539</v>
      </c>
      <c r="F13" s="330">
        <v>25.76</v>
      </c>
      <c r="G13" s="332">
        <f>534728.01/1.1/12.33</f>
        <v>39425.49657155496</v>
      </c>
      <c r="H13" s="330">
        <v>12.33</v>
      </c>
      <c r="I13" s="14"/>
      <c r="J13" s="15"/>
      <c r="K13" s="14"/>
      <c r="L13" s="15"/>
      <c r="M13" s="14"/>
      <c r="N13" s="15"/>
    </row>
    <row r="14" spans="1:14" ht="14.25" customHeight="1">
      <c r="A14" s="338"/>
      <c r="B14" s="95" t="s">
        <v>112</v>
      </c>
      <c r="C14" s="90">
        <v>34.5</v>
      </c>
      <c r="D14" s="215">
        <f>46.514*1.075</f>
        <v>50.00255</v>
      </c>
      <c r="E14" s="340"/>
      <c r="F14" s="336"/>
      <c r="G14" s="320"/>
      <c r="H14" s="336"/>
      <c r="I14" s="21"/>
      <c r="J14" s="22"/>
      <c r="K14" s="21"/>
      <c r="L14" s="22"/>
      <c r="M14" s="21"/>
      <c r="N14" s="22"/>
    </row>
    <row r="15" spans="1:14" ht="14.25" customHeight="1">
      <c r="A15" s="337" t="s">
        <v>18</v>
      </c>
      <c r="B15" s="99" t="s">
        <v>95</v>
      </c>
      <c r="C15" s="134">
        <f>1209+4480</f>
        <v>5689</v>
      </c>
      <c r="D15" s="214">
        <f>(4.98+2.745+0.093)*1.075</f>
        <v>8.40435</v>
      </c>
      <c r="E15" s="339">
        <v>467</v>
      </c>
      <c r="F15" s="330">
        <v>25.76</v>
      </c>
      <c r="G15" s="332">
        <f>438069.98/12.33</f>
        <v>35528.7899432279</v>
      </c>
      <c r="H15" s="330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338"/>
      <c r="B16" s="95" t="s">
        <v>112</v>
      </c>
      <c r="C16" s="90">
        <v>34.5</v>
      </c>
      <c r="D16" s="215">
        <f>46.514*1.075</f>
        <v>50.00255</v>
      </c>
      <c r="E16" s="340"/>
      <c r="F16" s="336"/>
      <c r="G16" s="320"/>
      <c r="H16" s="336"/>
      <c r="I16" s="21"/>
      <c r="J16" s="22"/>
      <c r="K16" s="21"/>
      <c r="L16" s="22"/>
      <c r="M16" s="21"/>
      <c r="N16" s="22"/>
    </row>
    <row r="17" spans="1:14" ht="14.25" customHeight="1">
      <c r="A17" s="337" t="s">
        <v>19</v>
      </c>
      <c r="B17" s="99" t="s">
        <v>95</v>
      </c>
      <c r="C17" s="134">
        <f>3960+959</f>
        <v>4919</v>
      </c>
      <c r="D17" s="214">
        <f>(4.98+2.745+0.093)*1.075</f>
        <v>8.40435</v>
      </c>
      <c r="E17" s="339">
        <v>271</v>
      </c>
      <c r="F17" s="330">
        <v>25.76</v>
      </c>
      <c r="G17" s="332">
        <f>341977.21/1.1/12.33</f>
        <v>25213.9799454398</v>
      </c>
      <c r="H17" s="330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338"/>
      <c r="B18" s="95" t="s">
        <v>112</v>
      </c>
      <c r="C18" s="90">
        <v>34.5</v>
      </c>
      <c r="D18" s="215">
        <f>46.514*1.075</f>
        <v>50.00255</v>
      </c>
      <c r="E18" s="340"/>
      <c r="F18" s="336"/>
      <c r="G18" s="320"/>
      <c r="H18" s="336"/>
      <c r="I18" s="21"/>
      <c r="J18" s="22"/>
      <c r="K18" s="21"/>
      <c r="L18" s="22"/>
      <c r="M18" s="21"/>
      <c r="N18" s="22"/>
    </row>
    <row r="19" spans="1:14" ht="14.25" customHeight="1">
      <c r="A19" s="337" t="s">
        <v>20</v>
      </c>
      <c r="B19" s="99" t="s">
        <v>95</v>
      </c>
      <c r="C19" s="133">
        <f>3440+972</f>
        <v>4412</v>
      </c>
      <c r="D19" s="214">
        <f>(4.98+2.745+0.093)*1.075</f>
        <v>8.40435</v>
      </c>
      <c r="E19" s="339">
        <v>279</v>
      </c>
      <c r="F19" s="330">
        <v>25.76</v>
      </c>
      <c r="G19" s="332">
        <v>0</v>
      </c>
      <c r="H19" s="330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38"/>
      <c r="B20" s="95" t="s">
        <v>112</v>
      </c>
      <c r="C20" s="90">
        <v>34.5</v>
      </c>
      <c r="D20" s="215">
        <f>46.514*1.075</f>
        <v>50.00255</v>
      </c>
      <c r="E20" s="340"/>
      <c r="F20" s="336"/>
      <c r="G20" s="320"/>
      <c r="H20" s="336"/>
      <c r="I20" s="21"/>
      <c r="J20" s="22"/>
      <c r="K20" s="21"/>
      <c r="L20" s="22"/>
      <c r="M20" s="21"/>
      <c r="N20" s="22"/>
    </row>
    <row r="21" spans="1:14" ht="14.25" customHeight="1">
      <c r="A21" s="337" t="s">
        <v>69</v>
      </c>
      <c r="B21" s="99" t="s">
        <v>95</v>
      </c>
      <c r="C21" s="133">
        <f>3600+1184</f>
        <v>4784</v>
      </c>
      <c r="D21" s="214">
        <f>(4.98+2.745+0.093)*1.075</f>
        <v>8.40435</v>
      </c>
      <c r="E21" s="339">
        <v>261</v>
      </c>
      <c r="F21" s="330">
        <v>29.1</v>
      </c>
      <c r="G21" s="332">
        <f>0</f>
        <v>0</v>
      </c>
      <c r="H21" s="330">
        <v>12.33</v>
      </c>
      <c r="I21" s="14"/>
      <c r="J21" s="15"/>
      <c r="K21" s="14"/>
      <c r="L21" s="15"/>
      <c r="M21" s="14"/>
      <c r="N21" s="15"/>
    </row>
    <row r="22" spans="1:14" ht="14.25" customHeight="1">
      <c r="A22" s="338"/>
      <c r="B22" s="95" t="s">
        <v>112</v>
      </c>
      <c r="C22" s="90">
        <v>34.5</v>
      </c>
      <c r="D22" s="215">
        <f>46.514*1.075</f>
        <v>50.00255</v>
      </c>
      <c r="E22" s="340"/>
      <c r="F22" s="336"/>
      <c r="G22" s="320"/>
      <c r="H22" s="336"/>
      <c r="I22" s="21"/>
      <c r="J22" s="22"/>
      <c r="K22" s="21"/>
      <c r="L22" s="22"/>
      <c r="M22" s="21"/>
      <c r="N22" s="22"/>
    </row>
    <row r="23" spans="1:14" ht="14.25" customHeight="1">
      <c r="A23" s="337" t="s">
        <v>70</v>
      </c>
      <c r="B23" s="99" t="s">
        <v>95</v>
      </c>
      <c r="C23" s="133">
        <f>2800+1309</f>
        <v>4109</v>
      </c>
      <c r="D23" s="214">
        <f>(4.98+2.745+0.093)*1.075</f>
        <v>8.40435</v>
      </c>
      <c r="E23" s="339">
        <v>260</v>
      </c>
      <c r="F23" s="330">
        <v>29.1</v>
      </c>
      <c r="G23" s="332">
        <v>0</v>
      </c>
      <c r="H23" s="330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38"/>
      <c r="B24" s="95" t="s">
        <v>96</v>
      </c>
      <c r="C24" s="90">
        <v>34.5</v>
      </c>
      <c r="D24" s="215">
        <f>46.514*1.075</f>
        <v>50.00255</v>
      </c>
      <c r="E24" s="340"/>
      <c r="F24" s="336"/>
      <c r="G24" s="320"/>
      <c r="H24" s="336"/>
      <c r="I24" s="21"/>
      <c r="J24" s="22"/>
      <c r="K24" s="21"/>
      <c r="L24" s="22"/>
      <c r="M24" s="21"/>
      <c r="N24" s="22"/>
    </row>
    <row r="25" spans="1:14" ht="14.25" customHeight="1">
      <c r="A25" s="337" t="s">
        <v>22</v>
      </c>
      <c r="B25" s="99" t="s">
        <v>95</v>
      </c>
      <c r="C25" s="133">
        <f>2320+1053</f>
        <v>3373</v>
      </c>
      <c r="D25" s="214">
        <v>8.404</v>
      </c>
      <c r="E25" s="339">
        <v>295</v>
      </c>
      <c r="F25" s="330">
        <v>29.1</v>
      </c>
      <c r="G25" s="25">
        <v>2044.8</v>
      </c>
      <c r="H25" s="15">
        <v>47.23</v>
      </c>
      <c r="I25" s="21"/>
      <c r="J25" s="22"/>
      <c r="K25" s="21"/>
      <c r="L25" s="22"/>
      <c r="M25" s="21"/>
      <c r="N25" s="22"/>
    </row>
    <row r="26" spans="1:14" ht="14.25" customHeight="1">
      <c r="A26" s="338"/>
      <c r="B26" s="95" t="s">
        <v>96</v>
      </c>
      <c r="C26" s="90">
        <f>17.25*2</f>
        <v>34.5</v>
      </c>
      <c r="D26" s="215">
        <v>50.003</v>
      </c>
      <c r="E26" s="340"/>
      <c r="F26" s="336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4.25" customHeight="1">
      <c r="A27" s="337" t="s">
        <v>23</v>
      </c>
      <c r="B27" s="99" t="s">
        <v>95</v>
      </c>
      <c r="C27" s="134">
        <f>3680+1070</f>
        <v>4750</v>
      </c>
      <c r="D27" s="214">
        <f>5.75+2.745+0.093</f>
        <v>8.588000000000001</v>
      </c>
      <c r="E27" s="339">
        <v>275</v>
      </c>
      <c r="F27" s="330">
        <v>29.1</v>
      </c>
      <c r="G27" s="25">
        <v>2044.8</v>
      </c>
      <c r="H27" s="15">
        <v>47.23</v>
      </c>
      <c r="I27" s="4"/>
      <c r="J27" s="5"/>
      <c r="K27" s="4"/>
      <c r="L27" s="5"/>
      <c r="M27" s="4"/>
      <c r="N27" s="5"/>
    </row>
    <row r="28" spans="1:14" ht="14.25" customHeight="1">
      <c r="A28" s="338"/>
      <c r="B28" s="95" t="s">
        <v>96</v>
      </c>
      <c r="C28" s="90">
        <v>34.5</v>
      </c>
      <c r="D28" s="215">
        <f>46.514</f>
        <v>46.514</v>
      </c>
      <c r="E28" s="340"/>
      <c r="F28" s="336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4.25" customHeight="1">
      <c r="A29" s="337" t="s">
        <v>24</v>
      </c>
      <c r="B29" s="99" t="s">
        <v>95</v>
      </c>
      <c r="C29" s="134">
        <v>0</v>
      </c>
      <c r="D29" s="214">
        <f>5.75+2.745+0.093</f>
        <v>8.588000000000001</v>
      </c>
      <c r="E29" s="334">
        <v>271</v>
      </c>
      <c r="F29" s="330">
        <f>22.54+6.56</f>
        <v>29.099999999999998</v>
      </c>
      <c r="G29" s="25">
        <v>2044.8</v>
      </c>
      <c r="H29" s="15">
        <v>47.23</v>
      </c>
      <c r="I29" s="4"/>
      <c r="J29" s="5"/>
      <c r="K29" s="4"/>
      <c r="L29" s="5"/>
      <c r="M29" s="4"/>
      <c r="N29" s="5"/>
    </row>
    <row r="30" spans="1:14" ht="14.25" customHeight="1">
      <c r="A30" s="338"/>
      <c r="B30" s="95" t="s">
        <v>96</v>
      </c>
      <c r="C30" s="90">
        <v>34.5</v>
      </c>
      <c r="D30" s="215">
        <f>46.514</f>
        <v>46.514</v>
      </c>
      <c r="E30" s="335"/>
      <c r="F30" s="336"/>
      <c r="G30" s="12">
        <v>29549</v>
      </c>
      <c r="H30" s="22">
        <v>5.81</v>
      </c>
      <c r="I30" s="4"/>
      <c r="J30" s="5"/>
      <c r="K30" s="4"/>
      <c r="L30" s="5"/>
      <c r="M30" s="4"/>
      <c r="N30" s="5"/>
    </row>
    <row r="31" spans="1:14" ht="14.25" customHeight="1">
      <c r="A31" s="337" t="s">
        <v>25</v>
      </c>
      <c r="B31" s="99" t="s">
        <v>95</v>
      </c>
      <c r="C31" s="134">
        <f>8480+2001</f>
        <v>10481</v>
      </c>
      <c r="D31" s="214">
        <f>5.75+2.745+0.093</f>
        <v>8.588000000000001</v>
      </c>
      <c r="E31" s="334">
        <f>281+10</f>
        <v>291</v>
      </c>
      <c r="F31" s="330">
        <v>29.1</v>
      </c>
      <c r="G31" s="25">
        <v>2044.8</v>
      </c>
      <c r="H31" s="15">
        <v>47.23</v>
      </c>
      <c r="I31" s="4"/>
      <c r="J31" s="5"/>
      <c r="K31" s="4"/>
      <c r="L31" s="5"/>
      <c r="M31" s="4"/>
      <c r="N31" s="5"/>
    </row>
    <row r="32" spans="1:14" ht="14.25" customHeight="1">
      <c r="A32" s="338"/>
      <c r="B32" s="95" t="s">
        <v>96</v>
      </c>
      <c r="C32" s="90">
        <v>34.5</v>
      </c>
      <c r="D32" s="215">
        <f>46.514</f>
        <v>46.514</v>
      </c>
      <c r="E32" s="335"/>
      <c r="F32" s="336"/>
      <c r="G32" s="12">
        <v>96575.91</v>
      </c>
      <c r="H32" s="22">
        <v>5.81</v>
      </c>
      <c r="I32" s="4"/>
      <c r="J32" s="5"/>
      <c r="K32" s="4"/>
      <c r="L32" s="5"/>
      <c r="M32" s="4"/>
      <c r="N32" s="5"/>
    </row>
    <row r="33" spans="1:14" ht="14.25" customHeight="1">
      <c r="A33" s="337" t="s">
        <v>26</v>
      </c>
      <c r="B33" s="99" t="s">
        <v>95</v>
      </c>
      <c r="C33" s="134"/>
      <c r="D33" s="214"/>
      <c r="E33" s="339"/>
      <c r="F33" s="330"/>
      <c r="G33" s="332"/>
      <c r="H33" s="330"/>
      <c r="I33" s="14"/>
      <c r="J33" s="15"/>
      <c r="K33" s="14"/>
      <c r="L33" s="15"/>
      <c r="M33" s="14"/>
      <c r="N33" s="15"/>
    </row>
    <row r="34" spans="1:14" ht="14.25" customHeight="1" thickBot="1">
      <c r="A34" s="341"/>
      <c r="B34" s="101" t="s">
        <v>96</v>
      </c>
      <c r="C34" s="90"/>
      <c r="D34" s="215"/>
      <c r="E34" s="342"/>
      <c r="F34" s="331"/>
      <c r="G34" s="333"/>
      <c r="H34" s="331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7" t="s">
        <v>32</v>
      </c>
      <c r="B36" s="327"/>
      <c r="C36" s="327"/>
      <c r="D36" s="328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327" t="s">
        <v>35</v>
      </c>
      <c r="C38" s="327"/>
      <c r="D38" s="327"/>
      <c r="E38" s="328"/>
      <c r="F38" s="33"/>
    </row>
    <row r="39" spans="1:6" ht="14.25" customHeight="1">
      <c r="A39" s="33"/>
      <c r="B39" s="327" t="s">
        <v>34</v>
      </c>
      <c r="C39" s="327"/>
      <c r="D39" s="327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68">
    <mergeCell ref="A13:A14"/>
    <mergeCell ref="I9:J9"/>
    <mergeCell ref="F29:F30"/>
    <mergeCell ref="H21:H22"/>
    <mergeCell ref="A21:A22"/>
    <mergeCell ref="E21:E22"/>
    <mergeCell ref="F21:F22"/>
    <mergeCell ref="G21:G22"/>
    <mergeCell ref="G23:G24"/>
    <mergeCell ref="H23:H2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B8:D8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B9:C10"/>
    <mergeCell ref="G15:G16"/>
    <mergeCell ref="G13:G14"/>
    <mergeCell ref="G19:G20"/>
    <mergeCell ref="F13:F14"/>
    <mergeCell ref="E13:E14"/>
    <mergeCell ref="E11:E12"/>
    <mergeCell ref="E17:E18"/>
    <mergeCell ref="F17:F18"/>
    <mergeCell ref="G17:G18"/>
    <mergeCell ref="H13:H14"/>
    <mergeCell ref="H15:H16"/>
    <mergeCell ref="H11:H12"/>
    <mergeCell ref="E8:F8"/>
    <mergeCell ref="G11:G12"/>
    <mergeCell ref="A25:A26"/>
    <mergeCell ref="E25:E26"/>
    <mergeCell ref="F25:F26"/>
    <mergeCell ref="H17:H18"/>
    <mergeCell ref="F23:F24"/>
    <mergeCell ref="A17:A18"/>
    <mergeCell ref="H19:H20"/>
    <mergeCell ref="E19:E20"/>
    <mergeCell ref="F19:F20"/>
    <mergeCell ref="A19:A20"/>
    <mergeCell ref="A27:A28"/>
    <mergeCell ref="F27:F28"/>
    <mergeCell ref="E27:E28"/>
    <mergeCell ref="A33:A34"/>
    <mergeCell ref="E33:E34"/>
    <mergeCell ref="F33:F34"/>
    <mergeCell ref="A29:A30"/>
    <mergeCell ref="E29:E30"/>
    <mergeCell ref="A31:A32"/>
    <mergeCell ref="H33:H34"/>
    <mergeCell ref="G33:G34"/>
    <mergeCell ref="E31:E32"/>
    <mergeCell ref="F31:F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9">
      <selection activeCell="I44" sqref="I44:I46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283" t="s">
        <v>27</v>
      </c>
      <c r="H9" s="284"/>
      <c r="I9" s="315" t="s">
        <v>99</v>
      </c>
      <c r="J9" s="316"/>
      <c r="K9" s="315" t="s">
        <v>13</v>
      </c>
      <c r="L9" s="473"/>
      <c r="M9" s="467" t="s">
        <v>14</v>
      </c>
      <c r="N9" s="468"/>
    </row>
    <row r="10" spans="1:14" ht="15" thickBot="1">
      <c r="A10" s="312"/>
      <c r="B10" s="399"/>
      <c r="C10" s="342"/>
      <c r="D10" s="331"/>
      <c r="E10" s="314"/>
      <c r="F10" s="331"/>
      <c r="G10" s="18" t="s">
        <v>115</v>
      </c>
      <c r="H10" s="15" t="s">
        <v>9</v>
      </c>
      <c r="I10" s="124" t="s">
        <v>100</v>
      </c>
      <c r="J10" s="15" t="s">
        <v>9</v>
      </c>
      <c r="K10" s="2" t="s">
        <v>10</v>
      </c>
      <c r="L10" s="166" t="s">
        <v>9</v>
      </c>
      <c r="M10" s="167" t="s">
        <v>30</v>
      </c>
      <c r="N10" s="168" t="s">
        <v>9</v>
      </c>
    </row>
    <row r="11" spans="1:14" ht="15.75" customHeight="1" thickTop="1">
      <c r="A11" s="441" t="s">
        <v>16</v>
      </c>
      <c r="B11" s="61" t="s">
        <v>95</v>
      </c>
      <c r="C11" s="87">
        <v>4260</v>
      </c>
      <c r="D11" s="219">
        <f>(5.48+3.138+0.093)*1.075</f>
        <v>9.364325</v>
      </c>
      <c r="E11" s="313">
        <v>24</v>
      </c>
      <c r="F11" s="466">
        <v>25.76</v>
      </c>
      <c r="G11" s="125"/>
      <c r="H11" s="126"/>
      <c r="I11" s="469">
        <v>3500</v>
      </c>
      <c r="J11" s="471">
        <f>140.04/1.2</f>
        <v>116.7</v>
      </c>
      <c r="K11" s="85"/>
      <c r="L11" s="164"/>
      <c r="M11" s="84"/>
      <c r="N11" s="120"/>
    </row>
    <row r="12" spans="1:14" ht="15" customHeight="1">
      <c r="A12" s="413"/>
      <c r="B12" s="65" t="s">
        <v>96</v>
      </c>
      <c r="C12" s="107">
        <v>480</v>
      </c>
      <c r="D12" s="223">
        <f>(3.49+0.784+0.093)*1.075</f>
        <v>4.694525</v>
      </c>
      <c r="E12" s="417"/>
      <c r="F12" s="401"/>
      <c r="G12" s="127"/>
      <c r="H12" s="128"/>
      <c r="I12" s="470"/>
      <c r="J12" s="472"/>
      <c r="K12" s="85"/>
      <c r="L12" s="164"/>
      <c r="M12" s="84"/>
      <c r="N12" s="120"/>
    </row>
    <row r="13" spans="1:14" ht="15" customHeight="1" thickBot="1">
      <c r="A13" s="413"/>
      <c r="B13" s="65" t="s">
        <v>111</v>
      </c>
      <c r="C13" s="136">
        <v>17.25</v>
      </c>
      <c r="D13" s="223">
        <f>46.514*1.075</f>
        <v>50.00255</v>
      </c>
      <c r="E13" s="417"/>
      <c r="F13" s="401"/>
      <c r="G13" s="127"/>
      <c r="H13" s="128"/>
      <c r="I13" s="470"/>
      <c r="J13" s="472"/>
      <c r="K13" s="85"/>
      <c r="L13" s="164"/>
      <c r="M13" s="84"/>
      <c r="N13" s="120"/>
    </row>
    <row r="14" spans="1:14" ht="15" customHeight="1" thickTop="1">
      <c r="A14" s="412" t="s">
        <v>17</v>
      </c>
      <c r="B14" s="65" t="s">
        <v>95</v>
      </c>
      <c r="C14" s="204">
        <v>1470</v>
      </c>
      <c r="D14" s="219">
        <f>(5.48+3.138+0.093)*1.075</f>
        <v>9.364325</v>
      </c>
      <c r="E14" s="416">
        <v>0</v>
      </c>
      <c r="F14" s="464">
        <v>25.76</v>
      </c>
      <c r="G14" s="129"/>
      <c r="H14" s="130"/>
      <c r="I14" s="458">
        <v>3500</v>
      </c>
      <c r="J14" s="455">
        <v>116.7</v>
      </c>
      <c r="K14" s="76"/>
      <c r="L14" s="163"/>
      <c r="M14" s="83"/>
      <c r="N14" s="115"/>
    </row>
    <row r="15" spans="1:14" ht="15" customHeight="1">
      <c r="A15" s="413"/>
      <c r="B15" s="65" t="s">
        <v>96</v>
      </c>
      <c r="C15" s="107">
        <v>480</v>
      </c>
      <c r="D15" s="223">
        <f>(3.49+0.784+0.093)*1.075</f>
        <v>4.694525</v>
      </c>
      <c r="E15" s="417"/>
      <c r="F15" s="465"/>
      <c r="G15" s="127"/>
      <c r="H15" s="128"/>
      <c r="I15" s="459"/>
      <c r="J15" s="456"/>
      <c r="K15" s="85"/>
      <c r="L15" s="164"/>
      <c r="M15" s="84"/>
      <c r="N15" s="120"/>
    </row>
    <row r="16" spans="1:14" ht="15" customHeight="1" thickBot="1">
      <c r="A16" s="413"/>
      <c r="B16" s="65" t="s">
        <v>111</v>
      </c>
      <c r="C16" s="136">
        <v>17.25</v>
      </c>
      <c r="D16" s="223">
        <f>46.514*1.075</f>
        <v>50.00255</v>
      </c>
      <c r="E16" s="417"/>
      <c r="F16" s="465"/>
      <c r="G16" s="127"/>
      <c r="H16" s="128"/>
      <c r="I16" s="459"/>
      <c r="J16" s="456"/>
      <c r="K16" s="85"/>
      <c r="L16" s="164"/>
      <c r="M16" s="84"/>
      <c r="N16" s="120"/>
    </row>
    <row r="17" spans="1:14" ht="15" customHeight="1" thickTop="1">
      <c r="A17" s="412" t="s">
        <v>18</v>
      </c>
      <c r="B17" s="69" t="s">
        <v>95</v>
      </c>
      <c r="C17" s="204">
        <v>3540</v>
      </c>
      <c r="D17" s="219">
        <f>(5.48+3.138+0.093)*1.075</f>
        <v>9.364325</v>
      </c>
      <c r="E17" s="416">
        <v>74</v>
      </c>
      <c r="F17" s="464">
        <v>25.76</v>
      </c>
      <c r="G17" s="129"/>
      <c r="H17" s="130"/>
      <c r="I17" s="458">
        <v>2000</v>
      </c>
      <c r="J17" s="455">
        <v>120.12</v>
      </c>
      <c r="K17" s="76"/>
      <c r="L17" s="163"/>
      <c r="M17" s="83"/>
      <c r="N17" s="115"/>
    </row>
    <row r="18" spans="1:14" ht="15" customHeight="1">
      <c r="A18" s="413"/>
      <c r="B18" s="65" t="s">
        <v>96</v>
      </c>
      <c r="C18" s="107">
        <v>660</v>
      </c>
      <c r="D18" s="223">
        <f>(3.49+0.784+0.093)*1.075</f>
        <v>4.694525</v>
      </c>
      <c r="E18" s="417"/>
      <c r="F18" s="465"/>
      <c r="G18" s="127"/>
      <c r="H18" s="128"/>
      <c r="I18" s="459"/>
      <c r="J18" s="456"/>
      <c r="K18" s="85"/>
      <c r="L18" s="164"/>
      <c r="M18" s="84"/>
      <c r="N18" s="120"/>
    </row>
    <row r="19" spans="1:14" ht="15" customHeight="1" thickBot="1">
      <c r="A19" s="413"/>
      <c r="B19" s="65" t="s">
        <v>111</v>
      </c>
      <c r="C19" s="136">
        <v>17.25</v>
      </c>
      <c r="D19" s="223">
        <f>46.514*1.075</f>
        <v>50.00255</v>
      </c>
      <c r="E19" s="417"/>
      <c r="F19" s="465"/>
      <c r="G19" s="127"/>
      <c r="H19" s="128"/>
      <c r="I19" s="459"/>
      <c r="J19" s="456"/>
      <c r="K19" s="85"/>
      <c r="L19" s="164"/>
      <c r="M19" s="84"/>
      <c r="N19" s="120"/>
    </row>
    <row r="20" spans="1:14" ht="13.5" thickTop="1">
      <c r="A20" s="412" t="s">
        <v>19</v>
      </c>
      <c r="B20" s="69" t="s">
        <v>95</v>
      </c>
      <c r="C20" s="204">
        <v>2880</v>
      </c>
      <c r="D20" s="219">
        <f>(5.48+3.138+0.093)*1.075</f>
        <v>9.364325</v>
      </c>
      <c r="E20" s="416">
        <v>70</v>
      </c>
      <c r="F20" s="464">
        <v>25.76</v>
      </c>
      <c r="G20" s="129"/>
      <c r="H20" s="130"/>
      <c r="I20" s="458">
        <v>1000</v>
      </c>
      <c r="J20" s="455">
        <f>119.53</f>
        <v>119.53</v>
      </c>
      <c r="K20" s="76"/>
      <c r="L20" s="163"/>
      <c r="M20" s="83"/>
      <c r="N20" s="115"/>
    </row>
    <row r="21" spans="1:14" ht="15" customHeight="1">
      <c r="A21" s="413"/>
      <c r="B21" s="65" t="s">
        <v>96</v>
      </c>
      <c r="C21" s="107">
        <v>600</v>
      </c>
      <c r="D21" s="223">
        <f>(3.49+0.784+0.093)*1.075</f>
        <v>4.694525</v>
      </c>
      <c r="E21" s="417"/>
      <c r="F21" s="465"/>
      <c r="G21" s="127"/>
      <c r="H21" s="128"/>
      <c r="I21" s="459"/>
      <c r="J21" s="456"/>
      <c r="K21" s="85"/>
      <c r="L21" s="164"/>
      <c r="M21" s="84"/>
      <c r="N21" s="120"/>
    </row>
    <row r="22" spans="1:14" ht="15" customHeight="1" thickBot="1">
      <c r="A22" s="413"/>
      <c r="B22" s="65" t="s">
        <v>111</v>
      </c>
      <c r="C22" s="136">
        <v>17.25</v>
      </c>
      <c r="D22" s="223">
        <f>46.514*1.075</f>
        <v>50.00255</v>
      </c>
      <c r="E22" s="417"/>
      <c r="F22" s="465"/>
      <c r="G22" s="127"/>
      <c r="H22" s="128"/>
      <c r="I22" s="459"/>
      <c r="J22" s="456"/>
      <c r="K22" s="85"/>
      <c r="L22" s="164"/>
      <c r="M22" s="84"/>
      <c r="N22" s="120"/>
    </row>
    <row r="23" spans="1:14" ht="13.5" thickTop="1">
      <c r="A23" s="412" t="s">
        <v>20</v>
      </c>
      <c r="B23" s="69" t="s">
        <v>95</v>
      </c>
      <c r="C23" s="87">
        <v>2610</v>
      </c>
      <c r="D23" s="219">
        <f>(5.48+3.138+0.093)*1.075</f>
        <v>9.364325</v>
      </c>
      <c r="E23" s="416">
        <v>75</v>
      </c>
      <c r="F23" s="464">
        <v>25.76</v>
      </c>
      <c r="G23" s="129"/>
      <c r="H23" s="130"/>
      <c r="I23" s="452">
        <v>0</v>
      </c>
      <c r="J23" s="115"/>
      <c r="K23" s="76"/>
      <c r="L23" s="163"/>
      <c r="M23" s="83"/>
      <c r="N23" s="115"/>
    </row>
    <row r="24" spans="1:14" ht="15" customHeight="1">
      <c r="A24" s="413"/>
      <c r="B24" s="65" t="s">
        <v>96</v>
      </c>
      <c r="C24" s="107">
        <v>420</v>
      </c>
      <c r="D24" s="223">
        <f>(3.49+0.784+0.093)*1.075</f>
        <v>4.694525</v>
      </c>
      <c r="E24" s="417"/>
      <c r="F24" s="465"/>
      <c r="G24" s="127"/>
      <c r="H24" s="128"/>
      <c r="I24" s="453"/>
      <c r="J24" s="120"/>
      <c r="K24" s="85"/>
      <c r="L24" s="164"/>
      <c r="M24" s="84"/>
      <c r="N24" s="120"/>
    </row>
    <row r="25" spans="1:14" ht="15" customHeight="1" thickBot="1">
      <c r="A25" s="413"/>
      <c r="B25" s="65" t="s">
        <v>111</v>
      </c>
      <c r="C25" s="136">
        <v>17.25</v>
      </c>
      <c r="D25" s="223">
        <f>46.514*1.075</f>
        <v>50.00255</v>
      </c>
      <c r="E25" s="417"/>
      <c r="F25" s="465"/>
      <c r="G25" s="127"/>
      <c r="H25" s="128"/>
      <c r="I25" s="478"/>
      <c r="J25" s="120"/>
      <c r="K25" s="85"/>
      <c r="L25" s="164"/>
      <c r="M25" s="84"/>
      <c r="N25" s="120"/>
    </row>
    <row r="26" spans="1:14" ht="15" customHeight="1" thickTop="1">
      <c r="A26" s="412" t="s">
        <v>69</v>
      </c>
      <c r="B26" s="69" t="s">
        <v>95</v>
      </c>
      <c r="C26" s="87">
        <v>2580</v>
      </c>
      <c r="D26" s="219">
        <f>(5.48+3.138+0.093)*1.075</f>
        <v>9.364325</v>
      </c>
      <c r="E26" s="416">
        <v>70</v>
      </c>
      <c r="F26" s="464">
        <v>29.1</v>
      </c>
      <c r="G26" s="129"/>
      <c r="H26" s="130"/>
      <c r="I26" s="452">
        <v>0</v>
      </c>
      <c r="J26" s="115"/>
      <c r="K26" s="76"/>
      <c r="L26" s="163"/>
      <c r="M26" s="83"/>
      <c r="N26" s="115"/>
    </row>
    <row r="27" spans="1:14" ht="15.75" customHeight="1">
      <c r="A27" s="413"/>
      <c r="B27" s="65" t="s">
        <v>96</v>
      </c>
      <c r="C27" s="107">
        <v>270</v>
      </c>
      <c r="D27" s="223">
        <f>(3.49+0.784+0.093)*1.075</f>
        <v>4.694525</v>
      </c>
      <c r="E27" s="417"/>
      <c r="F27" s="465"/>
      <c r="G27" s="127"/>
      <c r="H27" s="128"/>
      <c r="I27" s="453"/>
      <c r="J27" s="120"/>
      <c r="K27" s="85"/>
      <c r="L27" s="164"/>
      <c r="M27" s="84"/>
      <c r="N27" s="120"/>
    </row>
    <row r="28" spans="1:14" ht="16.5" customHeight="1" thickBot="1">
      <c r="A28" s="413"/>
      <c r="B28" s="65" t="s">
        <v>111</v>
      </c>
      <c r="C28" s="136">
        <v>17.25</v>
      </c>
      <c r="D28" s="223">
        <f>46.514*1.075</f>
        <v>50.00255</v>
      </c>
      <c r="E28" s="417"/>
      <c r="F28" s="465"/>
      <c r="G28" s="127"/>
      <c r="H28" s="128"/>
      <c r="I28" s="478"/>
      <c r="J28" s="120"/>
      <c r="K28" s="85"/>
      <c r="L28" s="164"/>
      <c r="M28" s="84"/>
      <c r="N28" s="120"/>
    </row>
    <row r="29" spans="1:14" ht="13.5" thickTop="1">
      <c r="A29" s="412" t="s">
        <v>70</v>
      </c>
      <c r="B29" s="69" t="s">
        <v>95</v>
      </c>
      <c r="C29" s="87">
        <v>1950</v>
      </c>
      <c r="D29" s="219">
        <f>(5.48+3.138+0.093)*1.075</f>
        <v>9.364325</v>
      </c>
      <c r="E29" s="416">
        <v>75</v>
      </c>
      <c r="F29" s="450">
        <v>29.1</v>
      </c>
      <c r="G29" s="144"/>
      <c r="H29" s="197"/>
      <c r="I29" s="447">
        <v>0</v>
      </c>
      <c r="J29" s="115"/>
      <c r="K29" s="76"/>
      <c r="L29" s="163"/>
      <c r="M29" s="83"/>
      <c r="N29" s="115"/>
    </row>
    <row r="30" spans="1:14" ht="15" customHeight="1">
      <c r="A30" s="413"/>
      <c r="B30" s="65" t="s">
        <v>96</v>
      </c>
      <c r="C30" s="107">
        <v>240</v>
      </c>
      <c r="D30" s="223">
        <f>(3.49+0.784+0.093)*1.075</f>
        <v>4.694525</v>
      </c>
      <c r="E30" s="417"/>
      <c r="F30" s="401"/>
      <c r="G30" s="145"/>
      <c r="H30" s="198"/>
      <c r="I30" s="448"/>
      <c r="J30" s="120"/>
      <c r="K30" s="85"/>
      <c r="L30" s="164"/>
      <c r="M30" s="84"/>
      <c r="N30" s="120"/>
    </row>
    <row r="31" spans="1:14" ht="15" customHeight="1" thickBot="1">
      <c r="A31" s="413"/>
      <c r="B31" s="65" t="s">
        <v>111</v>
      </c>
      <c r="C31" s="136">
        <v>17.25</v>
      </c>
      <c r="D31" s="223">
        <f>46.514*1.075</f>
        <v>50.00255</v>
      </c>
      <c r="E31" s="417"/>
      <c r="F31" s="401"/>
      <c r="G31" s="145"/>
      <c r="H31" s="199"/>
      <c r="I31" s="449"/>
      <c r="J31" s="120"/>
      <c r="K31" s="85"/>
      <c r="L31" s="164"/>
      <c r="M31" s="84"/>
      <c r="N31" s="120"/>
    </row>
    <row r="32" spans="1:14" ht="13.5" thickTop="1">
      <c r="A32" s="412" t="s">
        <v>22</v>
      </c>
      <c r="B32" s="69" t="s">
        <v>95</v>
      </c>
      <c r="C32" s="87">
        <v>1980</v>
      </c>
      <c r="D32" s="219">
        <f>(5.48+3.138+0.093)*1.075</f>
        <v>9.364325</v>
      </c>
      <c r="E32" s="416">
        <v>0</v>
      </c>
      <c r="F32" s="450">
        <v>29.1</v>
      </c>
      <c r="G32" s="452"/>
      <c r="H32" s="456"/>
      <c r="I32" s="452">
        <v>0</v>
      </c>
      <c r="J32" s="455"/>
      <c r="K32" s="339"/>
      <c r="L32" s="450"/>
      <c r="M32" s="452"/>
      <c r="N32" s="455"/>
    </row>
    <row r="33" spans="1:14" ht="15" customHeight="1">
      <c r="A33" s="413"/>
      <c r="B33" s="65" t="s">
        <v>96</v>
      </c>
      <c r="C33" s="107">
        <v>210</v>
      </c>
      <c r="D33" s="223">
        <f>(3.49+0.784+0.093)*1.075</f>
        <v>4.694525</v>
      </c>
      <c r="E33" s="417"/>
      <c r="F33" s="401"/>
      <c r="G33" s="453"/>
      <c r="H33" s="456"/>
      <c r="I33" s="453"/>
      <c r="J33" s="456"/>
      <c r="K33" s="324"/>
      <c r="L33" s="401"/>
      <c r="M33" s="453"/>
      <c r="N33" s="456"/>
    </row>
    <row r="34" spans="1:14" ht="15" customHeight="1" thickBot="1">
      <c r="A34" s="413"/>
      <c r="B34" s="65" t="s">
        <v>111</v>
      </c>
      <c r="C34" s="136">
        <v>17.25</v>
      </c>
      <c r="D34" s="223">
        <f>46.514*1.075</f>
        <v>50.00255</v>
      </c>
      <c r="E34" s="417"/>
      <c r="F34" s="401"/>
      <c r="G34" s="453"/>
      <c r="H34" s="456"/>
      <c r="I34" s="453"/>
      <c r="J34" s="456"/>
      <c r="K34" s="324"/>
      <c r="L34" s="401"/>
      <c r="M34" s="453"/>
      <c r="N34" s="456"/>
    </row>
    <row r="35" spans="1:14" ht="13.5" thickTop="1">
      <c r="A35" s="412" t="s">
        <v>23</v>
      </c>
      <c r="B35" s="69" t="s">
        <v>95</v>
      </c>
      <c r="C35" s="87">
        <v>2340</v>
      </c>
      <c r="D35" s="216">
        <f>6.39+3.138+0.093</f>
        <v>9.620999999999999</v>
      </c>
      <c r="E35" s="416">
        <v>32</v>
      </c>
      <c r="F35" s="450">
        <v>29.1</v>
      </c>
      <c r="G35" s="452"/>
      <c r="H35" s="455"/>
      <c r="I35" s="460">
        <v>0</v>
      </c>
      <c r="J35" s="455"/>
      <c r="K35" s="339"/>
      <c r="L35" s="450"/>
      <c r="M35" s="452"/>
      <c r="N35" s="455"/>
    </row>
    <row r="36" spans="1:14" ht="15" customHeight="1">
      <c r="A36" s="413"/>
      <c r="B36" s="65" t="s">
        <v>96</v>
      </c>
      <c r="C36" s="107">
        <v>330</v>
      </c>
      <c r="D36" s="217">
        <f>4.05+3.138+0.093</f>
        <v>7.281</v>
      </c>
      <c r="E36" s="417"/>
      <c r="F36" s="401"/>
      <c r="G36" s="453"/>
      <c r="H36" s="456"/>
      <c r="I36" s="461"/>
      <c r="J36" s="456"/>
      <c r="K36" s="324"/>
      <c r="L36" s="401"/>
      <c r="M36" s="453"/>
      <c r="N36" s="456"/>
    </row>
    <row r="37" spans="1:14" ht="15" customHeight="1" thickBot="1">
      <c r="A37" s="413"/>
      <c r="B37" s="65" t="s">
        <v>111</v>
      </c>
      <c r="C37" s="136">
        <v>17.25</v>
      </c>
      <c r="D37" s="217">
        <v>46.514</v>
      </c>
      <c r="E37" s="417"/>
      <c r="F37" s="401"/>
      <c r="G37" s="453"/>
      <c r="H37" s="456"/>
      <c r="I37" s="461"/>
      <c r="J37" s="456"/>
      <c r="K37" s="324"/>
      <c r="L37" s="401"/>
      <c r="M37" s="453"/>
      <c r="N37" s="456"/>
    </row>
    <row r="38" spans="1:14" ht="13.5" thickTop="1">
      <c r="A38" s="412" t="s">
        <v>24</v>
      </c>
      <c r="B38" s="157" t="s">
        <v>95</v>
      </c>
      <c r="C38" s="77">
        <v>4020</v>
      </c>
      <c r="D38" s="216">
        <f>6.39+3.138+0.093</f>
        <v>9.620999999999999</v>
      </c>
      <c r="E38" s="416">
        <v>64</v>
      </c>
      <c r="F38" s="450">
        <v>29.1</v>
      </c>
      <c r="G38" s="452"/>
      <c r="H38" s="455"/>
      <c r="I38" s="479">
        <v>3000</v>
      </c>
      <c r="J38" s="480">
        <v>133.74</v>
      </c>
      <c r="K38" s="339"/>
      <c r="L38" s="450"/>
      <c r="M38" s="452"/>
      <c r="N38" s="455"/>
    </row>
    <row r="39" spans="1:14" ht="15" customHeight="1">
      <c r="A39" s="413"/>
      <c r="B39" s="158" t="s">
        <v>96</v>
      </c>
      <c r="C39" s="78">
        <v>720</v>
      </c>
      <c r="D39" s="217">
        <f>4.05+3.138+0.093</f>
        <v>7.281</v>
      </c>
      <c r="E39" s="417"/>
      <c r="F39" s="401"/>
      <c r="G39" s="453"/>
      <c r="H39" s="456"/>
      <c r="I39" s="479"/>
      <c r="J39" s="480"/>
      <c r="K39" s="324"/>
      <c r="L39" s="401"/>
      <c r="M39" s="453"/>
      <c r="N39" s="456"/>
    </row>
    <row r="40" spans="1:14" ht="15" customHeight="1" thickBot="1">
      <c r="A40" s="413"/>
      <c r="B40" s="158" t="s">
        <v>111</v>
      </c>
      <c r="C40" s="156">
        <v>17.25</v>
      </c>
      <c r="D40" s="217">
        <v>46.514</v>
      </c>
      <c r="E40" s="417"/>
      <c r="F40" s="401"/>
      <c r="G40" s="453"/>
      <c r="H40" s="456"/>
      <c r="I40" s="479"/>
      <c r="J40" s="480"/>
      <c r="K40" s="324"/>
      <c r="L40" s="401"/>
      <c r="M40" s="453"/>
      <c r="N40" s="456"/>
    </row>
    <row r="41" spans="1:14" ht="13.5" thickTop="1">
      <c r="A41" s="412" t="s">
        <v>25</v>
      </c>
      <c r="B41" s="69" t="s">
        <v>95</v>
      </c>
      <c r="C41" s="107">
        <v>3510</v>
      </c>
      <c r="D41" s="216">
        <f>6.39+3.138+0.093</f>
        <v>9.620999999999999</v>
      </c>
      <c r="E41" s="339">
        <v>88</v>
      </c>
      <c r="F41" s="450">
        <v>29.1</v>
      </c>
      <c r="G41" s="452"/>
      <c r="H41" s="455"/>
      <c r="I41" s="410">
        <f>2045+1769+2970</f>
        <v>6784</v>
      </c>
      <c r="J41" s="481">
        <f>111.45*1.2</f>
        <v>133.74</v>
      </c>
      <c r="K41" s="339"/>
      <c r="L41" s="450"/>
      <c r="M41" s="452"/>
      <c r="N41" s="455"/>
    </row>
    <row r="42" spans="1:14" ht="12.75">
      <c r="A42" s="413"/>
      <c r="B42" s="65" t="s">
        <v>96</v>
      </c>
      <c r="C42" s="107">
        <v>660</v>
      </c>
      <c r="D42" s="217">
        <f>4.05+3.138+0.093</f>
        <v>7.281</v>
      </c>
      <c r="E42" s="324"/>
      <c r="F42" s="401"/>
      <c r="G42" s="453"/>
      <c r="H42" s="456"/>
      <c r="I42" s="410"/>
      <c r="J42" s="481"/>
      <c r="K42" s="324"/>
      <c r="L42" s="401"/>
      <c r="M42" s="453"/>
      <c r="N42" s="456"/>
    </row>
    <row r="43" spans="1:15" ht="13.5" thickBot="1">
      <c r="A43" s="413"/>
      <c r="B43" s="65" t="s">
        <v>111</v>
      </c>
      <c r="C43" s="155">
        <v>17.25</v>
      </c>
      <c r="D43" s="217">
        <v>46.514</v>
      </c>
      <c r="E43" s="324"/>
      <c r="F43" s="401"/>
      <c r="G43" s="453"/>
      <c r="H43" s="456"/>
      <c r="I43" s="410"/>
      <c r="J43" s="481"/>
      <c r="K43" s="324"/>
      <c r="L43" s="401"/>
      <c r="M43" s="453"/>
      <c r="N43" s="456"/>
      <c r="O43" s="165"/>
    </row>
    <row r="44" spans="1:15" ht="13.5" customHeight="1" thickTop="1">
      <c r="A44" s="474" t="s">
        <v>26</v>
      </c>
      <c r="B44" s="169" t="s">
        <v>95</v>
      </c>
      <c r="C44" s="77"/>
      <c r="D44" s="20"/>
      <c r="E44" s="477"/>
      <c r="F44" s="463"/>
      <c r="G44" s="463"/>
      <c r="H44" s="463"/>
      <c r="I44" s="462"/>
      <c r="J44" s="462"/>
      <c r="K44" s="447"/>
      <c r="L44" s="450"/>
      <c r="M44" s="452"/>
      <c r="N44" s="455"/>
      <c r="O44" s="165"/>
    </row>
    <row r="45" spans="1:15" ht="13.5" customHeight="1">
      <c r="A45" s="475"/>
      <c r="B45" s="170" t="s">
        <v>96</v>
      </c>
      <c r="C45" s="78"/>
      <c r="D45" s="24"/>
      <c r="E45" s="477"/>
      <c r="F45" s="463"/>
      <c r="G45" s="463"/>
      <c r="H45" s="463"/>
      <c r="I45" s="462"/>
      <c r="J45" s="462"/>
      <c r="K45" s="448"/>
      <c r="L45" s="401"/>
      <c r="M45" s="453"/>
      <c r="N45" s="456"/>
      <c r="O45" s="165"/>
    </row>
    <row r="46" spans="1:15" ht="13.5" customHeight="1" thickBot="1">
      <c r="A46" s="476"/>
      <c r="B46" s="171" t="s">
        <v>111</v>
      </c>
      <c r="C46" s="156"/>
      <c r="D46" s="24"/>
      <c r="E46" s="477"/>
      <c r="F46" s="463"/>
      <c r="G46" s="463"/>
      <c r="H46" s="463"/>
      <c r="I46" s="462"/>
      <c r="J46" s="462"/>
      <c r="K46" s="449"/>
      <c r="L46" s="451"/>
      <c r="M46" s="454"/>
      <c r="N46" s="457"/>
      <c r="O46" s="165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5"/>
    </row>
    <row r="48" spans="1:14" s="37" customFormat="1" ht="13.5" customHeight="1">
      <c r="A48" s="327" t="s">
        <v>32</v>
      </c>
      <c r="B48" s="327"/>
      <c r="C48" s="327"/>
      <c r="D48" s="32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7" t="s">
        <v>35</v>
      </c>
      <c r="C50" s="327"/>
      <c r="D50" s="327"/>
      <c r="E50" s="328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7" t="s">
        <v>34</v>
      </c>
      <c r="C51" s="327"/>
      <c r="D51" s="32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3">
    <mergeCell ref="I23:I25"/>
    <mergeCell ref="I26:I28"/>
    <mergeCell ref="K41:K43"/>
    <mergeCell ref="L41:L43"/>
    <mergeCell ref="I38:I40"/>
    <mergeCell ref="I41:I43"/>
    <mergeCell ref="J38:J40"/>
    <mergeCell ref="J41:J43"/>
    <mergeCell ref="I29:I31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K44:K46"/>
    <mergeCell ref="L44:L46"/>
    <mergeCell ref="M44:M46"/>
    <mergeCell ref="N44:N46"/>
  </mergeCells>
  <printOptions/>
  <pageMargins left="0.21" right="0.2" top="0.37" bottom="0.39" header="0.5" footer="0.3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C33" sqref="C33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40" t="s">
        <v>29</v>
      </c>
      <c r="J1" s="440"/>
      <c r="K1" s="440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40" t="s">
        <v>2</v>
      </c>
      <c r="J2" s="440"/>
      <c r="K2" s="440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40" t="s">
        <v>3</v>
      </c>
      <c r="J3" s="440"/>
      <c r="K3" s="440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315" t="s">
        <v>27</v>
      </c>
      <c r="H9" s="316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2"/>
      <c r="B10" s="399"/>
      <c r="C10" s="342"/>
      <c r="D10" s="331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4" t="s">
        <v>95</v>
      </c>
      <c r="C11" s="87">
        <v>2202</v>
      </c>
      <c r="D11" s="224">
        <f>(4.98+2.745+0.093)*1.075</f>
        <v>8.40435</v>
      </c>
      <c r="E11" s="313">
        <v>15</v>
      </c>
      <c r="F11" s="326">
        <v>25.76</v>
      </c>
      <c r="G11" s="319">
        <f>45.5*84</f>
        <v>3822</v>
      </c>
      <c r="H11" s="442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426"/>
      <c r="B12" s="95" t="s">
        <v>114</v>
      </c>
      <c r="C12" s="107">
        <v>17.25</v>
      </c>
      <c r="D12" s="227">
        <f>(46.514*1.075)</f>
        <v>50.00255</v>
      </c>
      <c r="E12" s="428"/>
      <c r="F12" s="336"/>
      <c r="G12" s="320"/>
      <c r="H12" s="443"/>
      <c r="I12" s="7"/>
      <c r="J12" s="8"/>
      <c r="K12" s="7"/>
      <c r="L12" s="8"/>
      <c r="M12" s="7"/>
      <c r="N12" s="8"/>
    </row>
    <row r="13" spans="1:14" ht="15" customHeight="1" thickTop="1">
      <c r="A13" s="412" t="s">
        <v>17</v>
      </c>
      <c r="B13" s="94" t="s">
        <v>95</v>
      </c>
      <c r="C13" s="205">
        <v>853</v>
      </c>
      <c r="D13" s="224">
        <f>(4.98+2.745+0.093)*1.075</f>
        <v>8.40435</v>
      </c>
      <c r="E13" s="416">
        <v>19</v>
      </c>
      <c r="F13" s="429">
        <v>25.76</v>
      </c>
      <c r="G13" s="332">
        <f>45.5*84</f>
        <v>3822</v>
      </c>
      <c r="H13" s="442">
        <v>13.65</v>
      </c>
      <c r="I13" s="14"/>
      <c r="J13" s="15"/>
      <c r="K13" s="14"/>
      <c r="L13" s="15"/>
      <c r="M13" s="14"/>
      <c r="N13" s="15"/>
    </row>
    <row r="14" spans="1:14" ht="13.5" thickBot="1">
      <c r="A14" s="426"/>
      <c r="B14" s="95" t="s">
        <v>114</v>
      </c>
      <c r="C14" s="105">
        <v>17.25</v>
      </c>
      <c r="D14" s="227">
        <f>(46.514*1.075)</f>
        <v>50.00255</v>
      </c>
      <c r="E14" s="428"/>
      <c r="F14" s="430"/>
      <c r="G14" s="320"/>
      <c r="H14" s="443"/>
      <c r="I14" s="21"/>
      <c r="J14" s="22"/>
      <c r="K14" s="21"/>
      <c r="L14" s="22"/>
      <c r="M14" s="21"/>
      <c r="N14" s="22"/>
    </row>
    <row r="15" spans="1:14" ht="15" customHeight="1" thickTop="1">
      <c r="A15" s="412" t="s">
        <v>18</v>
      </c>
      <c r="B15" s="94" t="s">
        <v>95</v>
      </c>
      <c r="C15" s="205">
        <v>1117</v>
      </c>
      <c r="D15" s="224">
        <f>(4.98+2.745+0.093)*1.075</f>
        <v>8.40435</v>
      </c>
      <c r="E15" s="416">
        <v>21</v>
      </c>
      <c r="F15" s="429">
        <v>25.76</v>
      </c>
      <c r="G15" s="332">
        <f>45.5*84</f>
        <v>3822</v>
      </c>
      <c r="H15" s="442">
        <v>13.65</v>
      </c>
      <c r="I15" s="14"/>
      <c r="J15" s="15"/>
      <c r="K15" s="14"/>
      <c r="L15" s="15"/>
      <c r="M15" s="14"/>
      <c r="N15" s="15"/>
    </row>
    <row r="16" spans="1:14" ht="13.5" thickBot="1">
      <c r="A16" s="426"/>
      <c r="B16" s="95" t="s">
        <v>114</v>
      </c>
      <c r="C16" s="105">
        <v>17.25</v>
      </c>
      <c r="D16" s="227">
        <f>(46.514*1.075)</f>
        <v>50.00255</v>
      </c>
      <c r="E16" s="428"/>
      <c r="F16" s="430"/>
      <c r="G16" s="320"/>
      <c r="H16" s="443"/>
      <c r="I16" s="21"/>
      <c r="J16" s="22"/>
      <c r="K16" s="21"/>
      <c r="L16" s="22"/>
      <c r="M16" s="21"/>
      <c r="N16" s="22"/>
    </row>
    <row r="17" spans="1:14" ht="13.5" thickTop="1">
      <c r="A17" s="412" t="s">
        <v>19</v>
      </c>
      <c r="B17" s="94" t="s">
        <v>95</v>
      </c>
      <c r="C17" s="106">
        <v>860</v>
      </c>
      <c r="D17" s="216">
        <v>8.404</v>
      </c>
      <c r="E17" s="416">
        <v>17</v>
      </c>
      <c r="F17" s="429">
        <v>25.76</v>
      </c>
      <c r="G17" s="332">
        <f>45.5*84</f>
        <v>3822</v>
      </c>
      <c r="H17" s="442">
        <v>13.65</v>
      </c>
      <c r="I17" s="14"/>
      <c r="J17" s="15"/>
      <c r="K17" s="14"/>
      <c r="L17" s="15"/>
      <c r="M17" s="14"/>
      <c r="N17" s="15"/>
    </row>
    <row r="18" spans="1:14" ht="13.5" thickBot="1">
      <c r="A18" s="426"/>
      <c r="B18" s="95" t="s">
        <v>114</v>
      </c>
      <c r="C18" s="105">
        <v>17.25</v>
      </c>
      <c r="D18" s="217">
        <v>50.003</v>
      </c>
      <c r="E18" s="428"/>
      <c r="F18" s="430"/>
      <c r="G18" s="320"/>
      <c r="H18" s="443"/>
      <c r="I18" s="21"/>
      <c r="J18" s="22"/>
      <c r="K18" s="21"/>
      <c r="L18" s="22"/>
      <c r="M18" s="21"/>
      <c r="N18" s="22"/>
    </row>
    <row r="19" spans="1:14" ht="13.5" thickTop="1">
      <c r="A19" s="412" t="s">
        <v>20</v>
      </c>
      <c r="B19" s="94" t="s">
        <v>95</v>
      </c>
      <c r="C19" s="205">
        <v>883</v>
      </c>
      <c r="D19" s="216">
        <v>8.404</v>
      </c>
      <c r="E19" s="416">
        <v>20</v>
      </c>
      <c r="F19" s="429">
        <v>25.76</v>
      </c>
      <c r="G19" s="332">
        <f>45.5*84</f>
        <v>3822</v>
      </c>
      <c r="H19" s="442">
        <v>12.33</v>
      </c>
      <c r="I19" s="14"/>
      <c r="J19" s="15"/>
      <c r="K19" s="14"/>
      <c r="L19" s="15"/>
      <c r="M19" s="14"/>
      <c r="N19" s="15"/>
    </row>
    <row r="20" spans="1:14" ht="13.5" thickBot="1">
      <c r="A20" s="426"/>
      <c r="B20" s="95" t="s">
        <v>114</v>
      </c>
      <c r="C20" s="105">
        <v>17.25</v>
      </c>
      <c r="D20" s="217">
        <v>50.003</v>
      </c>
      <c r="E20" s="428"/>
      <c r="F20" s="430"/>
      <c r="G20" s="320"/>
      <c r="H20" s="443"/>
      <c r="I20" s="21"/>
      <c r="J20" s="22"/>
      <c r="K20" s="21"/>
      <c r="L20" s="22"/>
      <c r="M20" s="21"/>
      <c r="N20" s="22"/>
    </row>
    <row r="21" spans="1:14" ht="13.5" thickTop="1">
      <c r="A21" s="412" t="s">
        <v>69</v>
      </c>
      <c r="B21" s="94" t="s">
        <v>95</v>
      </c>
      <c r="C21" s="106">
        <v>0</v>
      </c>
      <c r="D21" s="216">
        <v>8.404</v>
      </c>
      <c r="E21" s="416">
        <v>20</v>
      </c>
      <c r="F21" s="429">
        <v>29.1</v>
      </c>
      <c r="G21" s="332">
        <f>45.5*84</f>
        <v>3822</v>
      </c>
      <c r="H21" s="442">
        <v>12.33</v>
      </c>
      <c r="I21" s="14"/>
      <c r="J21" s="15"/>
      <c r="K21" s="14"/>
      <c r="L21" s="15"/>
      <c r="M21" s="14"/>
      <c r="N21" s="15"/>
    </row>
    <row r="22" spans="1:14" ht="13.5" thickBot="1">
      <c r="A22" s="426"/>
      <c r="B22" s="95" t="s">
        <v>114</v>
      </c>
      <c r="C22" s="105">
        <v>0</v>
      </c>
      <c r="D22" s="217">
        <v>50.003</v>
      </c>
      <c r="E22" s="428"/>
      <c r="F22" s="430"/>
      <c r="G22" s="320"/>
      <c r="H22" s="443"/>
      <c r="I22" s="21"/>
      <c r="J22" s="22"/>
      <c r="K22" s="21"/>
      <c r="L22" s="22"/>
      <c r="M22" s="21"/>
      <c r="N22" s="22"/>
    </row>
    <row r="23" spans="1:14" ht="13.5" thickTop="1">
      <c r="A23" s="412" t="s">
        <v>70</v>
      </c>
      <c r="B23" s="94" t="s">
        <v>95</v>
      </c>
      <c r="C23" s="106">
        <v>0</v>
      </c>
      <c r="D23" s="216">
        <v>8.404</v>
      </c>
      <c r="E23" s="416">
        <v>5</v>
      </c>
      <c r="F23" s="429">
        <v>29.1</v>
      </c>
      <c r="G23" s="332">
        <f>45.5*84</f>
        <v>3822</v>
      </c>
      <c r="H23" s="442">
        <v>13.65</v>
      </c>
      <c r="I23" s="14"/>
      <c r="J23" s="15"/>
      <c r="K23" s="14"/>
      <c r="L23" s="15"/>
      <c r="M23" s="14"/>
      <c r="N23" s="15"/>
    </row>
    <row r="24" spans="1:14" ht="13.5" thickBot="1">
      <c r="A24" s="426"/>
      <c r="B24" s="95" t="s">
        <v>114</v>
      </c>
      <c r="C24" s="105">
        <v>0</v>
      </c>
      <c r="D24" s="217">
        <v>50.003</v>
      </c>
      <c r="E24" s="428"/>
      <c r="F24" s="430"/>
      <c r="G24" s="320"/>
      <c r="H24" s="443"/>
      <c r="I24" s="21"/>
      <c r="J24" s="22"/>
      <c r="K24" s="21"/>
      <c r="L24" s="22"/>
      <c r="M24" s="21"/>
      <c r="N24" s="22"/>
    </row>
    <row r="25" spans="1:14" ht="13.5" thickTop="1">
      <c r="A25" s="412" t="s">
        <v>22</v>
      </c>
      <c r="B25" s="94" t="s">
        <v>95</v>
      </c>
      <c r="C25" s="106">
        <v>950</v>
      </c>
      <c r="D25" s="216">
        <v>8.404</v>
      </c>
      <c r="E25" s="416">
        <v>3</v>
      </c>
      <c r="F25" s="429">
        <v>29.1</v>
      </c>
      <c r="G25" s="25">
        <v>300.41</v>
      </c>
      <c r="H25" s="15">
        <v>47.23</v>
      </c>
      <c r="I25" s="21"/>
      <c r="J25" s="22"/>
      <c r="K25" s="21"/>
      <c r="L25" s="22"/>
      <c r="M25" s="21"/>
      <c r="N25" s="22"/>
    </row>
    <row r="26" spans="1:14" ht="13.5" thickBot="1">
      <c r="A26" s="426"/>
      <c r="B26" s="95" t="s">
        <v>114</v>
      </c>
      <c r="C26" s="105">
        <v>17.25</v>
      </c>
      <c r="D26" s="217">
        <v>50.003</v>
      </c>
      <c r="E26" s="428"/>
      <c r="F26" s="430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412" t="s">
        <v>23</v>
      </c>
      <c r="B27" s="94" t="s">
        <v>95</v>
      </c>
      <c r="C27" s="106">
        <v>1021</v>
      </c>
      <c r="D27" s="224">
        <f>5.75+2.745+0.093</f>
        <v>8.588000000000001</v>
      </c>
      <c r="E27" s="416">
        <v>26</v>
      </c>
      <c r="F27" s="429">
        <v>29.1</v>
      </c>
      <c r="G27" s="25">
        <v>300.41</v>
      </c>
      <c r="H27" s="15">
        <v>47.23</v>
      </c>
      <c r="I27" s="4"/>
      <c r="J27" s="5"/>
      <c r="K27" s="4"/>
      <c r="L27" s="5"/>
      <c r="M27" s="4"/>
      <c r="N27" s="5"/>
    </row>
    <row r="28" spans="1:14" ht="13.5" thickBot="1">
      <c r="A28" s="426"/>
      <c r="B28" s="95" t="s">
        <v>114</v>
      </c>
      <c r="C28" s="105">
        <v>17.25</v>
      </c>
      <c r="D28" s="227">
        <v>46.514</v>
      </c>
      <c r="E28" s="428"/>
      <c r="F28" s="430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412" t="s">
        <v>24</v>
      </c>
      <c r="B29" s="94" t="s">
        <v>95</v>
      </c>
      <c r="C29" s="106">
        <v>1250</v>
      </c>
      <c r="D29" s="224">
        <f>5.75+2.745+0.093</f>
        <v>8.588000000000001</v>
      </c>
      <c r="E29" s="416">
        <v>27</v>
      </c>
      <c r="F29" s="429">
        <v>29.1</v>
      </c>
      <c r="G29" s="332">
        <v>0</v>
      </c>
      <c r="H29" s="330">
        <v>0</v>
      </c>
      <c r="I29" s="4"/>
      <c r="J29" s="5"/>
      <c r="K29" s="4"/>
      <c r="L29" s="5"/>
      <c r="M29" s="4"/>
      <c r="N29" s="5"/>
    </row>
    <row r="30" spans="1:14" ht="13.5" thickBot="1">
      <c r="A30" s="426"/>
      <c r="B30" s="95" t="s">
        <v>114</v>
      </c>
      <c r="C30" s="105">
        <v>17.25</v>
      </c>
      <c r="D30" s="227">
        <v>46.514</v>
      </c>
      <c r="E30" s="428"/>
      <c r="F30" s="430"/>
      <c r="G30" s="320"/>
      <c r="H30" s="336"/>
      <c r="I30" s="4"/>
      <c r="J30" s="5"/>
      <c r="K30" s="4"/>
      <c r="L30" s="5"/>
      <c r="M30" s="4"/>
      <c r="N30" s="5"/>
    </row>
    <row r="31" spans="1:14" ht="12.75">
      <c r="A31" s="412" t="s">
        <v>25</v>
      </c>
      <c r="B31" s="94" t="s">
        <v>95</v>
      </c>
      <c r="C31" s="106">
        <v>1242</v>
      </c>
      <c r="D31" s="224">
        <f>5.75+2.745+0.093</f>
        <v>8.588000000000001</v>
      </c>
      <c r="E31" s="416">
        <v>25</v>
      </c>
      <c r="F31" s="429">
        <v>29.1</v>
      </c>
      <c r="G31" s="25">
        <v>300.41</v>
      </c>
      <c r="H31" s="15">
        <v>47.23</v>
      </c>
      <c r="I31" s="4"/>
      <c r="J31" s="5"/>
      <c r="K31" s="4"/>
      <c r="L31" s="5"/>
      <c r="M31" s="4"/>
      <c r="N31" s="5"/>
    </row>
    <row r="32" spans="1:14" ht="13.5" thickBot="1">
      <c r="A32" s="426"/>
      <c r="B32" s="95" t="s">
        <v>114</v>
      </c>
      <c r="C32" s="105">
        <v>17.25</v>
      </c>
      <c r="D32" s="227">
        <v>46.514</v>
      </c>
      <c r="E32" s="428"/>
      <c r="F32" s="430"/>
      <c r="G32" s="12">
        <v>14188.35</v>
      </c>
      <c r="H32" s="22">
        <v>5.81</v>
      </c>
      <c r="I32" s="4"/>
      <c r="J32" s="5"/>
      <c r="K32" s="4"/>
      <c r="L32" s="5"/>
      <c r="M32" s="4"/>
      <c r="N32" s="5"/>
    </row>
    <row r="33" spans="1:14" ht="12.75">
      <c r="A33" s="412" t="s">
        <v>26</v>
      </c>
      <c r="B33" s="94" t="s">
        <v>95</v>
      </c>
      <c r="C33" s="106"/>
      <c r="D33" s="224"/>
      <c r="E33" s="416"/>
      <c r="F33" s="429"/>
      <c r="G33" s="332"/>
      <c r="H33" s="330"/>
      <c r="I33" s="14"/>
      <c r="J33" s="15"/>
      <c r="K33" s="14"/>
      <c r="L33" s="15"/>
      <c r="M33" s="14"/>
      <c r="N33" s="15"/>
    </row>
    <row r="34" spans="1:14" ht="13.5" thickBot="1">
      <c r="A34" s="446"/>
      <c r="B34" s="95" t="s">
        <v>114</v>
      </c>
      <c r="C34" s="105"/>
      <c r="D34" s="227"/>
      <c r="E34" s="314"/>
      <c r="F34" s="482"/>
      <c r="G34" s="333"/>
      <c r="H34" s="331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7" t="s">
        <v>32</v>
      </c>
      <c r="B36" s="327"/>
      <c r="C36" s="327"/>
      <c r="D36" s="328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7" t="s">
        <v>35</v>
      </c>
      <c r="C38" s="327"/>
      <c r="D38" s="327"/>
      <c r="E38" s="328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7" t="s">
        <v>34</v>
      </c>
      <c r="C39" s="327"/>
      <c r="D39" s="327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3"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A25:A26"/>
    <mergeCell ref="E25:E26"/>
    <mergeCell ref="F25:F26"/>
    <mergeCell ref="A27:A28"/>
    <mergeCell ref="F27:F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E27:E28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31">
      <selection activeCell="E55" sqref="E55:E5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40" t="s">
        <v>29</v>
      </c>
      <c r="J1" s="440"/>
      <c r="K1" s="440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40" t="s">
        <v>2</v>
      </c>
      <c r="J2" s="440"/>
      <c r="K2" s="440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0" t="s">
        <v>3</v>
      </c>
      <c r="J3" s="440"/>
      <c r="K3" s="440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444" t="s">
        <v>27</v>
      </c>
      <c r="H9" s="445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1"/>
      <c r="B10" s="323"/>
      <c r="C10" s="324"/>
      <c r="D10" s="309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74" t="s">
        <v>16</v>
      </c>
      <c r="B11" s="137" t="s">
        <v>95</v>
      </c>
      <c r="C11" s="153">
        <v>18840</v>
      </c>
      <c r="D11" s="149">
        <f>(5.48+2.233+0.093)*1.075</f>
        <v>8.39145</v>
      </c>
      <c r="E11" s="322">
        <f>163+109</f>
        <v>272</v>
      </c>
      <c r="F11" s="326">
        <v>25.76</v>
      </c>
      <c r="G11" s="319">
        <f>265.8*84</f>
        <v>22327.2</v>
      </c>
      <c r="H11" s="330">
        <v>12.33</v>
      </c>
      <c r="I11" s="7"/>
      <c r="J11" s="8"/>
      <c r="K11" s="7"/>
      <c r="L11" s="8"/>
      <c r="M11" s="7"/>
      <c r="N11" s="8"/>
    </row>
    <row r="12" spans="1:14" ht="16.5" customHeight="1">
      <c r="A12" s="484"/>
      <c r="B12" s="138" t="s">
        <v>96</v>
      </c>
      <c r="C12" s="79">
        <v>8460</v>
      </c>
      <c r="D12" s="150">
        <f>(3.49+0.744+0.093)*1.075</f>
        <v>4.6515249999999995</v>
      </c>
      <c r="E12" s="324"/>
      <c r="F12" s="309"/>
      <c r="G12" s="418"/>
      <c r="H12" s="309"/>
      <c r="I12" s="7"/>
      <c r="J12" s="8"/>
      <c r="K12" s="7"/>
      <c r="L12" s="8"/>
      <c r="M12" s="7"/>
      <c r="N12" s="8"/>
    </row>
    <row r="13" spans="1:14" ht="16.5" customHeight="1">
      <c r="A13" s="484"/>
      <c r="B13" s="138" t="s">
        <v>114</v>
      </c>
      <c r="C13" s="79">
        <v>232</v>
      </c>
      <c r="D13" s="150">
        <f>148.844*1.075</f>
        <v>160.0073</v>
      </c>
      <c r="E13" s="324"/>
      <c r="F13" s="309"/>
      <c r="G13" s="418"/>
      <c r="H13" s="309"/>
      <c r="I13" s="7"/>
      <c r="J13" s="8"/>
      <c r="K13" s="7"/>
      <c r="L13" s="8"/>
      <c r="M13" s="7"/>
      <c r="N13" s="8"/>
    </row>
    <row r="14" spans="1:14" ht="13.5" customHeight="1" thickBot="1">
      <c r="A14" s="476"/>
      <c r="B14" s="139" t="s">
        <v>113</v>
      </c>
      <c r="C14" s="152">
        <v>4320</v>
      </c>
      <c r="D14" s="151">
        <f>1.27*1.075</f>
        <v>1.3652499999999999</v>
      </c>
      <c r="E14" s="340"/>
      <c r="F14" s="336"/>
      <c r="G14" s="320"/>
      <c r="H14" s="336"/>
      <c r="I14" s="7"/>
      <c r="J14" s="8"/>
      <c r="K14" s="7"/>
      <c r="L14" s="8"/>
      <c r="M14" s="7"/>
      <c r="N14" s="8"/>
    </row>
    <row r="15" spans="1:14" ht="12.75">
      <c r="A15" s="426" t="s">
        <v>17</v>
      </c>
      <c r="B15" s="137" t="s">
        <v>95</v>
      </c>
      <c r="C15" s="153">
        <v>17340</v>
      </c>
      <c r="D15" s="149">
        <f>(5.48+2.233+0.093)*1.075</f>
        <v>8.39145</v>
      </c>
      <c r="E15" s="416">
        <f>180+122</f>
        <v>302</v>
      </c>
      <c r="F15" s="330">
        <v>25.76</v>
      </c>
      <c r="G15" s="332">
        <f>265.8*84</f>
        <v>22327.2</v>
      </c>
      <c r="H15" s="330">
        <v>12.33</v>
      </c>
      <c r="I15" s="14"/>
      <c r="J15" s="15"/>
      <c r="K15" s="14"/>
      <c r="L15" s="15"/>
      <c r="M15" s="14"/>
      <c r="N15" s="15"/>
    </row>
    <row r="16" spans="1:14" ht="12.75">
      <c r="A16" s="424"/>
      <c r="B16" s="138" t="s">
        <v>96</v>
      </c>
      <c r="C16" s="79">
        <v>8820</v>
      </c>
      <c r="D16" s="150">
        <f>(3.49+0.744+0.093)*1.075</f>
        <v>4.6515249999999995</v>
      </c>
      <c r="E16" s="417"/>
      <c r="F16" s="309"/>
      <c r="G16" s="418"/>
      <c r="H16" s="309"/>
      <c r="I16" s="7"/>
      <c r="J16" s="8"/>
      <c r="K16" s="7"/>
      <c r="L16" s="8"/>
      <c r="M16" s="7"/>
      <c r="N16" s="8"/>
    </row>
    <row r="17" spans="1:14" ht="12.75">
      <c r="A17" s="424"/>
      <c r="B17" s="138" t="s">
        <v>114</v>
      </c>
      <c r="C17" s="79">
        <v>232</v>
      </c>
      <c r="D17" s="150">
        <f>148.844*1.075</f>
        <v>160.0073</v>
      </c>
      <c r="E17" s="417"/>
      <c r="F17" s="309"/>
      <c r="G17" s="418"/>
      <c r="H17" s="309"/>
      <c r="I17" s="7"/>
      <c r="J17" s="8"/>
      <c r="K17" s="7"/>
      <c r="L17" s="8"/>
      <c r="M17" s="7"/>
      <c r="N17" s="8"/>
    </row>
    <row r="18" spans="1:14" ht="14.25" customHeight="1" thickBot="1">
      <c r="A18" s="424"/>
      <c r="B18" s="139" t="s">
        <v>113</v>
      </c>
      <c r="C18" s="152">
        <v>4620</v>
      </c>
      <c r="D18" s="151">
        <f>1.27*1.075</f>
        <v>1.3652499999999999</v>
      </c>
      <c r="E18" s="428"/>
      <c r="F18" s="336"/>
      <c r="G18" s="320"/>
      <c r="H18" s="336"/>
      <c r="I18" s="7"/>
      <c r="J18" s="8"/>
      <c r="K18" s="7"/>
      <c r="L18" s="8"/>
      <c r="M18" s="7"/>
      <c r="N18" s="8"/>
    </row>
    <row r="19" spans="1:14" ht="14.25" customHeight="1">
      <c r="A19" s="424" t="s">
        <v>18</v>
      </c>
      <c r="B19" s="137" t="s">
        <v>95</v>
      </c>
      <c r="C19" s="153">
        <v>22200</v>
      </c>
      <c r="D19" s="149">
        <f>(5.48+2.233+0.093)*1.075</f>
        <v>8.39145</v>
      </c>
      <c r="E19" s="416">
        <f>230+125</f>
        <v>355</v>
      </c>
      <c r="F19" s="330">
        <v>25.76</v>
      </c>
      <c r="G19" s="332">
        <f>265.8*84</f>
        <v>22327.2</v>
      </c>
      <c r="H19" s="330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424"/>
      <c r="B20" s="138" t="s">
        <v>96</v>
      </c>
      <c r="C20" s="79">
        <v>12180</v>
      </c>
      <c r="D20" s="150">
        <f>(3.49+0.744+0.093)*1.075</f>
        <v>4.6515249999999995</v>
      </c>
      <c r="E20" s="417"/>
      <c r="F20" s="309"/>
      <c r="G20" s="418"/>
      <c r="H20" s="309"/>
      <c r="I20" s="7"/>
      <c r="J20" s="8"/>
      <c r="K20" s="7"/>
      <c r="L20" s="8"/>
      <c r="M20" s="7"/>
      <c r="N20" s="8"/>
    </row>
    <row r="21" spans="1:14" ht="14.25" customHeight="1">
      <c r="A21" s="424"/>
      <c r="B21" s="138" t="s">
        <v>114</v>
      </c>
      <c r="C21" s="79">
        <v>232</v>
      </c>
      <c r="D21" s="150">
        <f>148.844*1.075</f>
        <v>160.0073</v>
      </c>
      <c r="E21" s="417"/>
      <c r="F21" s="309"/>
      <c r="G21" s="418"/>
      <c r="H21" s="309"/>
      <c r="I21" s="7"/>
      <c r="J21" s="8"/>
      <c r="K21" s="7"/>
      <c r="L21" s="8"/>
      <c r="M21" s="7"/>
      <c r="N21" s="8"/>
    </row>
    <row r="22" spans="1:14" ht="13.5" thickBot="1">
      <c r="A22" s="424"/>
      <c r="B22" s="139" t="s">
        <v>113</v>
      </c>
      <c r="C22" s="152">
        <v>5640</v>
      </c>
      <c r="D22" s="151">
        <f>1.27*1.075</f>
        <v>1.3652499999999999</v>
      </c>
      <c r="E22" s="428"/>
      <c r="F22" s="336"/>
      <c r="G22" s="320"/>
      <c r="H22" s="336"/>
      <c r="I22" s="7"/>
      <c r="J22" s="8"/>
      <c r="K22" s="7"/>
      <c r="L22" s="8"/>
      <c r="M22" s="7"/>
      <c r="N22" s="8"/>
    </row>
    <row r="23" spans="1:14" ht="14.25" customHeight="1">
      <c r="A23" s="424" t="s">
        <v>19</v>
      </c>
      <c r="B23" s="137" t="s">
        <v>95</v>
      </c>
      <c r="C23" s="153">
        <v>19920</v>
      </c>
      <c r="D23" s="149">
        <f>(5.48+2.233+0.093)*1.075</f>
        <v>8.39145</v>
      </c>
      <c r="E23" s="416">
        <f>208+125</f>
        <v>333</v>
      </c>
      <c r="F23" s="330">
        <v>25.76</v>
      </c>
      <c r="G23" s="332">
        <f>265.8*84</f>
        <v>22327.2</v>
      </c>
      <c r="H23" s="330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424"/>
      <c r="B24" s="138" t="s">
        <v>96</v>
      </c>
      <c r="C24" s="79">
        <v>11040</v>
      </c>
      <c r="D24" s="150">
        <f>(3.49+0.744+0.093)*1.075</f>
        <v>4.6515249999999995</v>
      </c>
      <c r="E24" s="417"/>
      <c r="F24" s="309"/>
      <c r="G24" s="418"/>
      <c r="H24" s="309"/>
      <c r="I24" s="14"/>
      <c r="J24" s="8"/>
      <c r="K24" s="7"/>
      <c r="L24" s="8"/>
      <c r="M24" s="7"/>
      <c r="N24" s="8"/>
    </row>
    <row r="25" spans="1:14" ht="14.25" customHeight="1">
      <c r="A25" s="424"/>
      <c r="B25" s="138" t="s">
        <v>114</v>
      </c>
      <c r="C25" s="79">
        <v>232</v>
      </c>
      <c r="D25" s="150">
        <f>148.844*1.075</f>
        <v>160.0073</v>
      </c>
      <c r="E25" s="417"/>
      <c r="F25" s="309"/>
      <c r="G25" s="418"/>
      <c r="H25" s="309"/>
      <c r="I25" s="14"/>
      <c r="J25" s="8"/>
      <c r="K25" s="7"/>
      <c r="L25" s="8"/>
      <c r="M25" s="7"/>
      <c r="N25" s="8"/>
    </row>
    <row r="26" spans="1:14" ht="13.5" thickBot="1">
      <c r="A26" s="424"/>
      <c r="B26" s="139" t="s">
        <v>113</v>
      </c>
      <c r="C26" s="152">
        <v>4980</v>
      </c>
      <c r="D26" s="151">
        <f>1.27*1.075</f>
        <v>1.3652499999999999</v>
      </c>
      <c r="E26" s="428"/>
      <c r="F26" s="336"/>
      <c r="G26" s="320"/>
      <c r="H26" s="336"/>
      <c r="I26" s="14"/>
      <c r="J26" s="8"/>
      <c r="K26" s="7"/>
      <c r="L26" s="8"/>
      <c r="M26" s="7"/>
      <c r="N26" s="8"/>
    </row>
    <row r="27" spans="1:14" ht="12.75" customHeight="1">
      <c r="A27" s="412" t="s">
        <v>20</v>
      </c>
      <c r="B27" s="137" t="s">
        <v>95</v>
      </c>
      <c r="C27" s="153">
        <v>15420</v>
      </c>
      <c r="D27" s="149">
        <f>(5.48+2.233+0.093)*1.075</f>
        <v>8.39145</v>
      </c>
      <c r="E27" s="416">
        <f>172+108</f>
        <v>280</v>
      </c>
      <c r="F27" s="330">
        <v>25.76</v>
      </c>
      <c r="G27" s="332">
        <f>265.8*84</f>
        <v>22327.2</v>
      </c>
      <c r="H27" s="330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413"/>
      <c r="B28" s="138" t="s">
        <v>96</v>
      </c>
      <c r="C28" s="79">
        <v>8460</v>
      </c>
      <c r="D28" s="150">
        <f>(3.49+0.744+0.093)*1.075</f>
        <v>4.6515249999999995</v>
      </c>
      <c r="E28" s="417"/>
      <c r="F28" s="309"/>
      <c r="G28" s="418"/>
      <c r="H28" s="309"/>
      <c r="I28" s="7"/>
      <c r="J28" s="8"/>
      <c r="K28" s="7"/>
      <c r="L28" s="8"/>
      <c r="M28" s="7"/>
      <c r="N28" s="8"/>
    </row>
    <row r="29" spans="1:14" ht="12.75" customHeight="1">
      <c r="A29" s="413"/>
      <c r="B29" s="138" t="s">
        <v>114</v>
      </c>
      <c r="C29" s="79">
        <v>232</v>
      </c>
      <c r="D29" s="150">
        <f>148.844*1.075</f>
        <v>160.0073</v>
      </c>
      <c r="E29" s="417"/>
      <c r="F29" s="309"/>
      <c r="G29" s="418"/>
      <c r="H29" s="309"/>
      <c r="I29" s="7"/>
      <c r="J29" s="8"/>
      <c r="K29" s="7"/>
      <c r="L29" s="8"/>
      <c r="M29" s="7"/>
      <c r="N29" s="8"/>
    </row>
    <row r="30" spans="1:14" ht="12.75" customHeight="1" thickBot="1">
      <c r="A30" s="413"/>
      <c r="B30" s="139" t="s">
        <v>113</v>
      </c>
      <c r="C30" s="152">
        <v>5460</v>
      </c>
      <c r="D30" s="151">
        <f>1.27*1.075</f>
        <v>1.3652499999999999</v>
      </c>
      <c r="E30" s="417"/>
      <c r="F30" s="309"/>
      <c r="G30" s="418"/>
      <c r="H30" s="336"/>
      <c r="I30" s="7"/>
      <c r="J30" s="8"/>
      <c r="K30" s="7"/>
      <c r="L30" s="8"/>
      <c r="M30" s="7"/>
      <c r="N30" s="8"/>
    </row>
    <row r="31" spans="1:14" ht="12.75" customHeight="1">
      <c r="A31" s="412" t="s">
        <v>69</v>
      </c>
      <c r="B31" s="137" t="s">
        <v>95</v>
      </c>
      <c r="C31" s="153">
        <v>14820</v>
      </c>
      <c r="D31" s="149">
        <f>(5.48+2.233+0.093)*1.075</f>
        <v>8.39145</v>
      </c>
      <c r="E31" s="416">
        <f>250+30</f>
        <v>280</v>
      </c>
      <c r="F31" s="330">
        <v>29.1</v>
      </c>
      <c r="G31" s="332">
        <f>265.8*84</f>
        <v>22327.2</v>
      </c>
      <c r="H31" s="330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413"/>
      <c r="B32" s="138" t="s">
        <v>96</v>
      </c>
      <c r="C32" s="79">
        <v>8760</v>
      </c>
      <c r="D32" s="150">
        <f>(3.49+0.744+0.093)*1.075</f>
        <v>4.6515249999999995</v>
      </c>
      <c r="E32" s="417"/>
      <c r="F32" s="309"/>
      <c r="G32" s="418"/>
      <c r="H32" s="309"/>
      <c r="I32" s="7"/>
      <c r="J32" s="8"/>
      <c r="K32" s="7"/>
      <c r="L32" s="8"/>
      <c r="M32" s="7"/>
      <c r="N32" s="8"/>
    </row>
    <row r="33" spans="1:14" ht="12.75" customHeight="1">
      <c r="A33" s="413"/>
      <c r="B33" s="138" t="s">
        <v>114</v>
      </c>
      <c r="C33" s="79">
        <v>232</v>
      </c>
      <c r="D33" s="150">
        <f>148.844*1.075</f>
        <v>160.0073</v>
      </c>
      <c r="E33" s="417"/>
      <c r="F33" s="309"/>
      <c r="G33" s="418"/>
      <c r="H33" s="309"/>
      <c r="I33" s="7"/>
      <c r="J33" s="8"/>
      <c r="K33" s="7"/>
      <c r="L33" s="8"/>
      <c r="M33" s="7"/>
      <c r="N33" s="8"/>
    </row>
    <row r="34" spans="1:14" ht="12.75" customHeight="1" thickBot="1">
      <c r="A34" s="413"/>
      <c r="B34" s="139" t="s">
        <v>113</v>
      </c>
      <c r="C34" s="152">
        <v>6540</v>
      </c>
      <c r="D34" s="151">
        <f>1.27*1.075</f>
        <v>1.3652499999999999</v>
      </c>
      <c r="E34" s="417"/>
      <c r="F34" s="309"/>
      <c r="G34" s="418"/>
      <c r="H34" s="336"/>
      <c r="I34" s="7"/>
      <c r="J34" s="8"/>
      <c r="K34" s="7"/>
      <c r="L34" s="8"/>
      <c r="M34" s="7"/>
      <c r="N34" s="8"/>
    </row>
    <row r="35" spans="1:14" ht="15" customHeight="1">
      <c r="A35" s="412" t="s">
        <v>70</v>
      </c>
      <c r="B35" s="137" t="s">
        <v>95</v>
      </c>
      <c r="C35" s="154">
        <v>12240</v>
      </c>
      <c r="D35" s="149">
        <f>(5.48+2.233+0.093)*1.075</f>
        <v>8.39145</v>
      </c>
      <c r="E35" s="416">
        <f>200+86</f>
        <v>286</v>
      </c>
      <c r="F35" s="330">
        <v>29.1</v>
      </c>
      <c r="G35" s="332">
        <f>265.8*84</f>
        <v>22327.2</v>
      </c>
      <c r="H35" s="330">
        <v>12.33</v>
      </c>
      <c r="I35" s="14"/>
      <c r="J35" s="15"/>
      <c r="K35" s="14"/>
      <c r="L35" s="15"/>
      <c r="M35" s="14"/>
      <c r="N35" s="15"/>
    </row>
    <row r="36" spans="1:14" ht="15" customHeight="1">
      <c r="A36" s="413"/>
      <c r="B36" s="138" t="s">
        <v>96</v>
      </c>
      <c r="C36" s="154">
        <v>6600</v>
      </c>
      <c r="D36" s="150">
        <f>(3.49+0.744+0.093)*1.075</f>
        <v>4.6515249999999995</v>
      </c>
      <c r="E36" s="417"/>
      <c r="F36" s="309"/>
      <c r="G36" s="418"/>
      <c r="H36" s="309"/>
      <c r="I36" s="7"/>
      <c r="J36" s="8"/>
      <c r="K36" s="7"/>
      <c r="L36" s="8"/>
      <c r="M36" s="7"/>
      <c r="N36" s="8"/>
    </row>
    <row r="37" spans="1:14" ht="15" customHeight="1">
      <c r="A37" s="413"/>
      <c r="B37" s="138" t="s">
        <v>114</v>
      </c>
      <c r="C37" s="154">
        <v>232</v>
      </c>
      <c r="D37" s="150">
        <f>148.844*1.075</f>
        <v>160.0073</v>
      </c>
      <c r="E37" s="417"/>
      <c r="F37" s="309"/>
      <c r="G37" s="418"/>
      <c r="H37" s="309"/>
      <c r="I37" s="7"/>
      <c r="J37" s="8"/>
      <c r="K37" s="7"/>
      <c r="L37" s="8"/>
      <c r="M37" s="7"/>
      <c r="N37" s="8"/>
    </row>
    <row r="38" spans="1:14" ht="15" customHeight="1" thickBot="1">
      <c r="A38" s="426"/>
      <c r="B38" s="139" t="s">
        <v>113</v>
      </c>
      <c r="C38" s="154">
        <v>5400</v>
      </c>
      <c r="D38" s="151">
        <f>1.27*1.075</f>
        <v>1.3652499999999999</v>
      </c>
      <c r="E38" s="428"/>
      <c r="F38" s="336"/>
      <c r="G38" s="320"/>
      <c r="H38" s="336"/>
      <c r="I38" s="21"/>
      <c r="J38" s="22"/>
      <c r="K38" s="21"/>
      <c r="L38" s="22"/>
      <c r="M38" s="21"/>
      <c r="N38" s="22"/>
    </row>
    <row r="39" spans="1:14" ht="15" customHeight="1">
      <c r="A39" s="412" t="s">
        <v>22</v>
      </c>
      <c r="B39" s="137" t="s">
        <v>95</v>
      </c>
      <c r="C39" s="153">
        <v>13020</v>
      </c>
      <c r="D39" s="149">
        <f>(5.48+2.233+0.093)*1.075</f>
        <v>8.39145</v>
      </c>
      <c r="E39" s="416">
        <f>272</f>
        <v>272</v>
      </c>
      <c r="F39" s="330">
        <v>29.1</v>
      </c>
      <c r="G39" s="332">
        <v>764.5</v>
      </c>
      <c r="H39" s="330">
        <v>47.23</v>
      </c>
      <c r="I39" s="21"/>
      <c r="J39" s="22"/>
      <c r="K39" s="21"/>
      <c r="L39" s="22"/>
      <c r="M39" s="21"/>
      <c r="N39" s="22"/>
    </row>
    <row r="40" spans="1:14" ht="15" customHeight="1">
      <c r="A40" s="413"/>
      <c r="B40" s="138" t="s">
        <v>96</v>
      </c>
      <c r="C40" s="79">
        <v>8520</v>
      </c>
      <c r="D40" s="150">
        <f>(3.49+0.744+0.093)*1.075</f>
        <v>4.6515249999999995</v>
      </c>
      <c r="E40" s="417"/>
      <c r="F40" s="309"/>
      <c r="G40" s="418"/>
      <c r="H40" s="309"/>
      <c r="I40" s="21"/>
      <c r="J40" s="22"/>
      <c r="K40" s="21"/>
      <c r="L40" s="22"/>
      <c r="M40" s="21"/>
      <c r="N40" s="22"/>
    </row>
    <row r="41" spans="1:14" ht="15" customHeight="1">
      <c r="A41" s="413"/>
      <c r="B41" s="138" t="s">
        <v>114</v>
      </c>
      <c r="C41" s="79">
        <v>232</v>
      </c>
      <c r="D41" s="150">
        <f>148.844*1.075</f>
        <v>160.0073</v>
      </c>
      <c r="E41" s="417"/>
      <c r="F41" s="309"/>
      <c r="G41" s="418">
        <v>0</v>
      </c>
      <c r="H41" s="309">
        <v>5.81</v>
      </c>
      <c r="I41" s="21"/>
      <c r="J41" s="22"/>
      <c r="K41" s="21"/>
      <c r="L41" s="22"/>
      <c r="M41" s="21"/>
      <c r="N41" s="22"/>
    </row>
    <row r="42" spans="1:14" ht="15" customHeight="1" thickBot="1">
      <c r="A42" s="426"/>
      <c r="B42" s="139" t="s">
        <v>113</v>
      </c>
      <c r="C42" s="152">
        <v>6300</v>
      </c>
      <c r="D42" s="151">
        <f>1.27*1.075</f>
        <v>1.3652499999999999</v>
      </c>
      <c r="E42" s="428"/>
      <c r="F42" s="336"/>
      <c r="G42" s="320"/>
      <c r="H42" s="336"/>
      <c r="I42" s="21"/>
      <c r="J42" s="22"/>
      <c r="K42" s="21"/>
      <c r="L42" s="22"/>
      <c r="M42" s="21"/>
      <c r="N42" s="22"/>
    </row>
    <row r="43" spans="1:14" ht="15" customHeight="1">
      <c r="A43" s="412" t="s">
        <v>23</v>
      </c>
      <c r="B43" s="137" t="s">
        <v>95</v>
      </c>
      <c r="C43" s="153">
        <v>16140</v>
      </c>
      <c r="D43" s="149">
        <f>6.39+2.233+0.093</f>
        <v>8.716</v>
      </c>
      <c r="E43" s="416">
        <f>144+92</f>
        <v>236</v>
      </c>
      <c r="F43" s="330">
        <v>29.1</v>
      </c>
      <c r="G43" s="332">
        <v>764.5</v>
      </c>
      <c r="H43" s="330">
        <v>47.23</v>
      </c>
      <c r="I43" s="21"/>
      <c r="J43" s="22"/>
      <c r="K43" s="21"/>
      <c r="L43" s="22"/>
      <c r="M43" s="21"/>
      <c r="N43" s="22"/>
    </row>
    <row r="44" spans="1:14" ht="15" customHeight="1">
      <c r="A44" s="413"/>
      <c r="B44" s="138" t="s">
        <v>96</v>
      </c>
      <c r="C44" s="79">
        <v>8880</v>
      </c>
      <c r="D44" s="150">
        <f>4.05+0.744+0.093</f>
        <v>4.887</v>
      </c>
      <c r="E44" s="417"/>
      <c r="F44" s="309"/>
      <c r="G44" s="418"/>
      <c r="H44" s="309"/>
      <c r="I44" s="21"/>
      <c r="J44" s="22"/>
      <c r="K44" s="21"/>
      <c r="L44" s="22"/>
      <c r="M44" s="21"/>
      <c r="N44" s="22"/>
    </row>
    <row r="45" spans="1:14" ht="15" customHeight="1">
      <c r="A45" s="413"/>
      <c r="B45" s="138" t="s">
        <v>114</v>
      </c>
      <c r="C45" s="79">
        <v>232</v>
      </c>
      <c r="D45" s="150">
        <v>148.844</v>
      </c>
      <c r="E45" s="417"/>
      <c r="F45" s="309"/>
      <c r="G45" s="418">
        <v>0</v>
      </c>
      <c r="H45" s="309">
        <v>5.81</v>
      </c>
      <c r="I45" s="21"/>
      <c r="J45" s="22"/>
      <c r="K45" s="21"/>
      <c r="L45" s="22"/>
      <c r="M45" s="21"/>
      <c r="N45" s="22"/>
    </row>
    <row r="46" spans="1:14" ht="13.5" thickBot="1">
      <c r="A46" s="426"/>
      <c r="B46" s="139" t="s">
        <v>113</v>
      </c>
      <c r="C46" s="152">
        <v>5820</v>
      </c>
      <c r="D46" s="151">
        <f>1.27</f>
        <v>1.27</v>
      </c>
      <c r="E46" s="428"/>
      <c r="F46" s="336"/>
      <c r="G46" s="320"/>
      <c r="H46" s="336"/>
      <c r="I46" s="4"/>
      <c r="J46" s="5"/>
      <c r="K46" s="4"/>
      <c r="L46" s="5"/>
      <c r="M46" s="4"/>
      <c r="N46" s="5"/>
    </row>
    <row r="47" spans="1:14" ht="15" customHeight="1">
      <c r="A47" s="483" t="s">
        <v>24</v>
      </c>
      <c r="B47" s="77" t="s">
        <v>95</v>
      </c>
      <c r="C47" s="106">
        <v>14700</v>
      </c>
      <c r="D47" s="149">
        <f>6.39+2.233+0.093</f>
        <v>8.716</v>
      </c>
      <c r="E47" s="416"/>
      <c r="F47" s="330">
        <v>29.1</v>
      </c>
      <c r="G47" s="332">
        <v>764.5</v>
      </c>
      <c r="H47" s="330">
        <v>47.23</v>
      </c>
      <c r="I47" s="4"/>
      <c r="J47" s="5"/>
      <c r="K47" s="4"/>
      <c r="L47" s="5"/>
      <c r="M47" s="4"/>
      <c r="N47" s="5"/>
    </row>
    <row r="48" spans="1:14" ht="15" customHeight="1">
      <c r="A48" s="483"/>
      <c r="B48" s="78" t="s">
        <v>96</v>
      </c>
      <c r="C48" s="107">
        <v>8250</v>
      </c>
      <c r="D48" s="150">
        <f>4.05+0.744+0.093</f>
        <v>4.887</v>
      </c>
      <c r="E48" s="417"/>
      <c r="F48" s="309"/>
      <c r="G48" s="418"/>
      <c r="H48" s="309"/>
      <c r="I48" s="4"/>
      <c r="J48" s="5"/>
      <c r="K48" s="4"/>
      <c r="L48" s="5"/>
      <c r="M48" s="4"/>
      <c r="N48" s="5"/>
    </row>
    <row r="49" spans="1:14" ht="15" customHeight="1">
      <c r="A49" s="483"/>
      <c r="B49" s="78" t="s">
        <v>114</v>
      </c>
      <c r="C49" s="107">
        <v>232</v>
      </c>
      <c r="D49" s="150">
        <v>148.844</v>
      </c>
      <c r="E49" s="417"/>
      <c r="F49" s="309"/>
      <c r="G49" s="418">
        <v>6680</v>
      </c>
      <c r="H49" s="309">
        <v>5.81</v>
      </c>
      <c r="I49" s="4"/>
      <c r="J49" s="5"/>
      <c r="K49" s="4"/>
      <c r="L49" s="5"/>
      <c r="M49" s="4"/>
      <c r="N49" s="5"/>
    </row>
    <row r="50" spans="1:14" ht="13.5" thickBot="1">
      <c r="A50" s="338"/>
      <c r="B50" s="148" t="s">
        <v>113</v>
      </c>
      <c r="C50" s="118">
        <v>5040</v>
      </c>
      <c r="D50" s="151">
        <f>1.27</f>
        <v>1.27</v>
      </c>
      <c r="E50" s="428"/>
      <c r="F50" s="336"/>
      <c r="G50" s="320"/>
      <c r="H50" s="336"/>
      <c r="I50" s="4"/>
      <c r="J50" s="5"/>
      <c r="K50" s="4"/>
      <c r="L50" s="5"/>
      <c r="M50" s="4"/>
      <c r="N50" s="5"/>
    </row>
    <row r="51" spans="1:14" ht="12.75">
      <c r="A51" s="337" t="s">
        <v>25</v>
      </c>
      <c r="B51" s="77" t="s">
        <v>95</v>
      </c>
      <c r="C51" s="106">
        <v>17280</v>
      </c>
      <c r="D51" s="149">
        <f>6.39+2.233+0.093</f>
        <v>8.716</v>
      </c>
      <c r="E51" s="416">
        <f>166+129</f>
        <v>295</v>
      </c>
      <c r="F51" s="330">
        <v>29.1</v>
      </c>
      <c r="G51" s="332">
        <v>764.5</v>
      </c>
      <c r="H51" s="330">
        <v>47.23</v>
      </c>
      <c r="I51" s="4"/>
      <c r="J51" s="5"/>
      <c r="K51" s="4"/>
      <c r="L51" s="5"/>
      <c r="M51" s="4"/>
      <c r="N51" s="5"/>
    </row>
    <row r="52" spans="1:14" ht="15" customHeight="1">
      <c r="A52" s="483"/>
      <c r="B52" s="78" t="s">
        <v>96</v>
      </c>
      <c r="C52" s="107">
        <v>9480</v>
      </c>
      <c r="D52" s="150">
        <f>4.05+0.744+0.093</f>
        <v>4.887</v>
      </c>
      <c r="E52" s="417"/>
      <c r="F52" s="309"/>
      <c r="G52" s="418"/>
      <c r="H52" s="309"/>
      <c r="I52" s="4"/>
      <c r="J52" s="5"/>
      <c r="K52" s="4"/>
      <c r="L52" s="5"/>
      <c r="M52" s="4"/>
      <c r="N52" s="5"/>
    </row>
    <row r="53" spans="1:14" ht="15" customHeight="1">
      <c r="A53" s="483"/>
      <c r="B53" s="78" t="s">
        <v>114</v>
      </c>
      <c r="C53" s="107">
        <v>232</v>
      </c>
      <c r="D53" s="150">
        <v>148.844</v>
      </c>
      <c r="E53" s="417"/>
      <c r="F53" s="309"/>
      <c r="G53" s="418">
        <v>36107.34</v>
      </c>
      <c r="H53" s="309">
        <v>5.81</v>
      </c>
      <c r="I53" s="4"/>
      <c r="J53" s="5"/>
      <c r="K53" s="4"/>
      <c r="L53" s="5"/>
      <c r="M53" s="4"/>
      <c r="N53" s="5"/>
    </row>
    <row r="54" spans="1:14" ht="13.5" thickBot="1">
      <c r="A54" s="338"/>
      <c r="B54" s="148" t="s">
        <v>113</v>
      </c>
      <c r="C54" s="119">
        <v>5460</v>
      </c>
      <c r="D54" s="151">
        <f>1.27</f>
        <v>1.27</v>
      </c>
      <c r="E54" s="428"/>
      <c r="F54" s="336"/>
      <c r="G54" s="320"/>
      <c r="H54" s="336"/>
      <c r="I54" s="4"/>
      <c r="J54" s="5"/>
      <c r="K54" s="4"/>
      <c r="L54" s="5"/>
      <c r="M54" s="4"/>
      <c r="N54" s="5"/>
    </row>
    <row r="55" spans="1:14" ht="12.75">
      <c r="A55" s="337" t="s">
        <v>26</v>
      </c>
      <c r="B55" s="77" t="s">
        <v>95</v>
      </c>
      <c r="C55" s="107"/>
      <c r="D55" s="149"/>
      <c r="E55" s="416"/>
      <c r="F55" s="330"/>
      <c r="G55" s="332"/>
      <c r="H55" s="330"/>
      <c r="I55" s="14"/>
      <c r="J55" s="15"/>
      <c r="K55" s="14"/>
      <c r="L55" s="15"/>
      <c r="M55" s="14"/>
      <c r="N55" s="15"/>
    </row>
    <row r="56" spans="1:14" ht="15" customHeight="1">
      <c r="A56" s="483"/>
      <c r="B56" s="78" t="s">
        <v>96</v>
      </c>
      <c r="C56" s="107"/>
      <c r="D56" s="150"/>
      <c r="E56" s="417"/>
      <c r="F56" s="309"/>
      <c r="G56" s="418"/>
      <c r="H56" s="309"/>
      <c r="I56" s="14"/>
      <c r="J56" s="15"/>
      <c r="K56" s="14"/>
      <c r="L56" s="15"/>
      <c r="M56" s="14"/>
      <c r="N56" s="15"/>
    </row>
    <row r="57" spans="1:14" ht="15" customHeight="1">
      <c r="A57" s="483"/>
      <c r="B57" s="78" t="s">
        <v>114</v>
      </c>
      <c r="C57" s="107"/>
      <c r="D57" s="150"/>
      <c r="E57" s="417"/>
      <c r="F57" s="309"/>
      <c r="G57" s="418"/>
      <c r="H57" s="309"/>
      <c r="I57" s="14"/>
      <c r="J57" s="15"/>
      <c r="K57" s="14"/>
      <c r="L57" s="15"/>
      <c r="M57" s="14"/>
      <c r="N57" s="15"/>
    </row>
    <row r="58" spans="1:14" ht="13.5" thickBot="1">
      <c r="A58" s="341"/>
      <c r="B58" s="148" t="s">
        <v>113</v>
      </c>
      <c r="C58" s="118"/>
      <c r="D58" s="151"/>
      <c r="E58" s="314"/>
      <c r="F58" s="331"/>
      <c r="G58" s="333"/>
      <c r="H58" s="331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7" t="s">
        <v>32</v>
      </c>
      <c r="B60" s="327"/>
      <c r="C60" s="327"/>
      <c r="D60" s="328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7" t="s">
        <v>35</v>
      </c>
      <c r="C62" s="327"/>
      <c r="D62" s="327"/>
      <c r="E62" s="328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7" t="s">
        <v>34</v>
      </c>
      <c r="C63" s="327"/>
      <c r="D63" s="327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87">
    <mergeCell ref="H51:H52"/>
    <mergeCell ref="G53:G54"/>
    <mergeCell ref="H53:H54"/>
    <mergeCell ref="H43:H44"/>
    <mergeCell ref="G45:G46"/>
    <mergeCell ref="H45:H46"/>
    <mergeCell ref="G47:G48"/>
    <mergeCell ref="H47:H48"/>
    <mergeCell ref="G49:G50"/>
    <mergeCell ref="H49:H50"/>
    <mergeCell ref="H23:H26"/>
    <mergeCell ref="H31:H34"/>
    <mergeCell ref="A31:A34"/>
    <mergeCell ref="E31:E34"/>
    <mergeCell ref="F31:F34"/>
    <mergeCell ref="G31:G34"/>
    <mergeCell ref="A27:A30"/>
    <mergeCell ref="F23:F26"/>
    <mergeCell ref="E27:E30"/>
    <mergeCell ref="F27:F30"/>
    <mergeCell ref="A47:A50"/>
    <mergeCell ref="E47:E50"/>
    <mergeCell ref="F47:F50"/>
    <mergeCell ref="H11:H14"/>
    <mergeCell ref="H15:H18"/>
    <mergeCell ref="G15:G18"/>
    <mergeCell ref="G19:G22"/>
    <mergeCell ref="H19:H22"/>
    <mergeCell ref="G11:G14"/>
    <mergeCell ref="G23:G26"/>
    <mergeCell ref="B62:E62"/>
    <mergeCell ref="E35:E38"/>
    <mergeCell ref="F35:F38"/>
    <mergeCell ref="G35:G38"/>
    <mergeCell ref="G41:G42"/>
    <mergeCell ref="G27:G30"/>
    <mergeCell ref="F19:F22"/>
    <mergeCell ref="B63:D63"/>
    <mergeCell ref="A11:A14"/>
    <mergeCell ref="A15:A18"/>
    <mergeCell ref="A23:A26"/>
    <mergeCell ref="A39:A42"/>
    <mergeCell ref="E39:E42"/>
    <mergeCell ref="F39:F42"/>
    <mergeCell ref="G39:G40"/>
    <mergeCell ref="I9:J9"/>
    <mergeCell ref="E9:E10"/>
    <mergeCell ref="F9:F10"/>
    <mergeCell ref="G9:H9"/>
    <mergeCell ref="H27:H30"/>
    <mergeCell ref="A35:A38"/>
    <mergeCell ref="M9:N9"/>
    <mergeCell ref="A60:D60"/>
    <mergeCell ref="A19:A22"/>
    <mergeCell ref="E11:E14"/>
    <mergeCell ref="A43:A46"/>
    <mergeCell ref="E43:E46"/>
    <mergeCell ref="F43:F46"/>
    <mergeCell ref="G43:G4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A51:A54"/>
    <mergeCell ref="E51:E54"/>
    <mergeCell ref="F51:F54"/>
    <mergeCell ref="G51:G52"/>
    <mergeCell ref="A55:A58"/>
    <mergeCell ref="E55:E58"/>
    <mergeCell ref="F55:F58"/>
    <mergeCell ref="G55:G58"/>
    <mergeCell ref="H39:H40"/>
    <mergeCell ref="H41:H42"/>
    <mergeCell ref="B9:C10"/>
    <mergeCell ref="H55:H58"/>
    <mergeCell ref="H35:H38"/>
    <mergeCell ref="F11:F14"/>
    <mergeCell ref="E15:E18"/>
    <mergeCell ref="F15:F18"/>
    <mergeCell ref="E19:E22"/>
    <mergeCell ref="E23:E2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3">
      <selection activeCell="C33" sqref="C33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40" t="s">
        <v>29</v>
      </c>
      <c r="J1" s="440"/>
      <c r="K1" s="44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40" t="s">
        <v>2</v>
      </c>
      <c r="J2" s="440"/>
      <c r="K2" s="44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0" t="s">
        <v>3</v>
      </c>
      <c r="J3" s="440"/>
      <c r="K3" s="440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444" t="s">
        <v>27</v>
      </c>
      <c r="H9" s="445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2"/>
      <c r="B10" s="323"/>
      <c r="C10" s="324"/>
      <c r="D10" s="309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103</v>
      </c>
      <c r="C11" s="113">
        <v>28</v>
      </c>
      <c r="D11" s="116">
        <f>(4.98+2.745+0.093)*1.075</f>
        <v>8.40435</v>
      </c>
      <c r="E11" s="489">
        <v>30</v>
      </c>
      <c r="F11" s="326">
        <f>19.95+5.81</f>
        <v>25.759999999999998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5"/>
      <c r="B12" s="84" t="s">
        <v>114</v>
      </c>
      <c r="C12" s="107">
        <v>17.25</v>
      </c>
      <c r="D12" s="116">
        <f>46.514*1.075</f>
        <v>50.00255</v>
      </c>
      <c r="E12" s="478"/>
      <c r="F12" s="336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103</v>
      </c>
      <c r="C13" s="106">
        <v>311</v>
      </c>
      <c r="D13" s="116">
        <f>(4.98+2.745+0.093)*1.075</f>
        <v>8.40435</v>
      </c>
      <c r="E13" s="452">
        <v>145</v>
      </c>
      <c r="F13" s="429">
        <v>25.76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06">
        <v>17.25</v>
      </c>
      <c r="D14" s="116">
        <f>46.514*1.075</f>
        <v>50.00255</v>
      </c>
      <c r="E14" s="478"/>
      <c r="F14" s="430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103</v>
      </c>
      <c r="C15" s="109">
        <v>11</v>
      </c>
      <c r="D15" s="116">
        <f>(4.98+2.745+0.093)*1.075</f>
        <v>8.40435</v>
      </c>
      <c r="E15" s="452">
        <v>103</v>
      </c>
      <c r="F15" s="330">
        <v>25.76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114</v>
      </c>
      <c r="C16" s="109">
        <v>17.25</v>
      </c>
      <c r="D16" s="116">
        <f>46.514*1.075</f>
        <v>50.00255</v>
      </c>
      <c r="E16" s="478"/>
      <c r="F16" s="336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103</v>
      </c>
      <c r="C17" s="109">
        <v>131</v>
      </c>
      <c r="D17" s="114">
        <v>8.404</v>
      </c>
      <c r="E17" s="452">
        <v>102</v>
      </c>
      <c r="F17" s="330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114</v>
      </c>
      <c r="C18" s="109">
        <v>17.25</v>
      </c>
      <c r="D18" s="120">
        <v>50</v>
      </c>
      <c r="E18" s="478"/>
      <c r="F18" s="336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103</v>
      </c>
      <c r="C19" s="109">
        <v>71</v>
      </c>
      <c r="D19" s="114">
        <v>8.404</v>
      </c>
      <c r="E19" s="452">
        <v>146</v>
      </c>
      <c r="F19" s="330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114</v>
      </c>
      <c r="C20" s="109">
        <v>17.25</v>
      </c>
      <c r="D20" s="120">
        <v>50</v>
      </c>
      <c r="E20" s="478"/>
      <c r="F20" s="336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103</v>
      </c>
      <c r="C21" s="109">
        <v>48</v>
      </c>
      <c r="D21" s="114">
        <v>8.404</v>
      </c>
      <c r="E21" s="452">
        <v>1</v>
      </c>
      <c r="F21" s="330">
        <v>29.1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114</v>
      </c>
      <c r="C22" s="109">
        <v>17.25</v>
      </c>
      <c r="D22" s="120">
        <v>50</v>
      </c>
      <c r="E22" s="478"/>
      <c r="F22" s="336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70</v>
      </c>
      <c r="B23" s="112" t="s">
        <v>103</v>
      </c>
      <c r="C23" s="109">
        <v>0</v>
      </c>
      <c r="D23" s="114">
        <v>8.404</v>
      </c>
      <c r="E23" s="452">
        <v>0</v>
      </c>
      <c r="F23" s="330">
        <v>29.1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114</v>
      </c>
      <c r="C24" s="109">
        <v>0</v>
      </c>
      <c r="D24" s="120">
        <v>50</v>
      </c>
      <c r="E24" s="478"/>
      <c r="F24" s="336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103</v>
      </c>
      <c r="C25" s="109">
        <v>93</v>
      </c>
      <c r="D25" s="114">
        <v>8.404</v>
      </c>
      <c r="E25" s="452">
        <v>1</v>
      </c>
      <c r="F25" s="330">
        <v>29.1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114</v>
      </c>
      <c r="C26" s="109">
        <v>17.25</v>
      </c>
      <c r="D26" s="120">
        <v>50</v>
      </c>
      <c r="E26" s="478"/>
      <c r="F26" s="336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103</v>
      </c>
      <c r="C27" s="109">
        <v>69</v>
      </c>
      <c r="D27" s="116">
        <f>5.75+2.745+0.093</f>
        <v>8.588000000000001</v>
      </c>
      <c r="E27" s="452">
        <v>3</v>
      </c>
      <c r="F27" s="330">
        <v>29.1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114</v>
      </c>
      <c r="C28" s="109">
        <v>17.25</v>
      </c>
      <c r="D28" s="116">
        <v>46.514</v>
      </c>
      <c r="E28" s="478"/>
      <c r="F28" s="336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103</v>
      </c>
      <c r="C29" s="109">
        <v>84</v>
      </c>
      <c r="D29" s="116">
        <f>5.75+2.745+0.093</f>
        <v>8.588000000000001</v>
      </c>
      <c r="E29" s="452">
        <v>3</v>
      </c>
      <c r="F29" s="330">
        <v>29.1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114</v>
      </c>
      <c r="C30" s="109">
        <v>17.25</v>
      </c>
      <c r="D30" s="116">
        <v>46.514</v>
      </c>
      <c r="E30" s="478"/>
      <c r="F30" s="336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103</v>
      </c>
      <c r="C31" s="109">
        <v>146</v>
      </c>
      <c r="D31" s="116">
        <f>5.75+2.745+0.093</f>
        <v>8.588000000000001</v>
      </c>
      <c r="E31" s="452">
        <v>2</v>
      </c>
      <c r="F31" s="330">
        <v>29.1</v>
      </c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06">
        <v>17.25</v>
      </c>
      <c r="D32" s="116">
        <v>46.514</v>
      </c>
      <c r="E32" s="478"/>
      <c r="F32" s="336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103</v>
      </c>
      <c r="C33" s="106"/>
      <c r="D33" s="116"/>
      <c r="E33" s="485"/>
      <c r="F33" s="487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6"/>
      <c r="B34" s="187" t="s">
        <v>114</v>
      </c>
      <c r="C34" s="188"/>
      <c r="D34" s="116"/>
      <c r="E34" s="486"/>
      <c r="F34" s="488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7"/>
      <c r="B36" s="327"/>
      <c r="C36" s="327"/>
      <c r="D36" s="328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7"/>
      <c r="C38" s="327"/>
      <c r="D38" s="327"/>
      <c r="E38" s="328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7"/>
      <c r="C39" s="327"/>
      <c r="D39" s="327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8">
      <selection activeCell="C44" sqref="C44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40" t="s">
        <v>29</v>
      </c>
      <c r="J1" s="440"/>
      <c r="K1" s="44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40" t="s">
        <v>2</v>
      </c>
      <c r="J2" s="440"/>
      <c r="K2" s="44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0" t="s">
        <v>3</v>
      </c>
      <c r="J3" s="440"/>
      <c r="K3" s="44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444" t="s">
        <v>27</v>
      </c>
      <c r="H9" s="445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2"/>
      <c r="B10" s="399"/>
      <c r="C10" s="342"/>
      <c r="D10" s="331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61" t="s">
        <v>95</v>
      </c>
      <c r="C11" s="87">
        <v>1147</v>
      </c>
      <c r="D11" s="173">
        <f>(5.48+3.138+0.093)*1.075</f>
        <v>9.364325</v>
      </c>
      <c r="E11" s="313">
        <v>0</v>
      </c>
      <c r="F11" s="326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3"/>
      <c r="B12" s="65" t="s">
        <v>96</v>
      </c>
      <c r="C12" s="107">
        <v>128</v>
      </c>
      <c r="D12" s="8">
        <f>(3.49+0.784+0.093)*1.075</f>
        <v>4.694525</v>
      </c>
      <c r="E12" s="417"/>
      <c r="F12" s="309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3"/>
      <c r="B13" s="65" t="s">
        <v>114</v>
      </c>
      <c r="C13" s="107">
        <v>17.25</v>
      </c>
      <c r="D13" s="175">
        <f>46.514*1.075</f>
        <v>50.00255</v>
      </c>
      <c r="E13" s="417"/>
      <c r="F13" s="309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12" t="s">
        <v>17</v>
      </c>
      <c r="B14" s="61" t="s">
        <v>95</v>
      </c>
      <c r="C14" s="106">
        <v>447</v>
      </c>
      <c r="D14" s="173">
        <f>(5.48+3.138+0.093)*1.075</f>
        <v>9.364325</v>
      </c>
      <c r="E14" s="416">
        <v>2</v>
      </c>
      <c r="F14" s="330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3"/>
      <c r="B15" s="65" t="s">
        <v>96</v>
      </c>
      <c r="C15" s="107">
        <v>224</v>
      </c>
      <c r="D15" s="8">
        <f>(3.49+0.784+0.093)*1.075</f>
        <v>4.694525</v>
      </c>
      <c r="E15" s="417"/>
      <c r="F15" s="309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3"/>
      <c r="B16" s="65" t="s">
        <v>114</v>
      </c>
      <c r="C16" s="107">
        <v>17.25</v>
      </c>
      <c r="D16" s="175">
        <f>46.514*1.075</f>
        <v>50.00255</v>
      </c>
      <c r="E16" s="417"/>
      <c r="F16" s="309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12" t="s">
        <v>18</v>
      </c>
      <c r="B17" s="61" t="s">
        <v>95</v>
      </c>
      <c r="C17" s="205">
        <v>1194</v>
      </c>
      <c r="D17" s="173">
        <f>(5.48+3.138+0.093)*1.075</f>
        <v>9.364325</v>
      </c>
      <c r="E17" s="416">
        <v>5</v>
      </c>
      <c r="F17" s="330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3"/>
      <c r="B18" s="65" t="s">
        <v>96</v>
      </c>
      <c r="C18" s="107">
        <v>357</v>
      </c>
      <c r="D18" s="8">
        <f>(3.49+0.784+0.093)*1.075</f>
        <v>4.694525</v>
      </c>
      <c r="E18" s="417"/>
      <c r="F18" s="309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3"/>
      <c r="B19" s="65" t="s">
        <v>114</v>
      </c>
      <c r="C19" s="107">
        <v>17.25</v>
      </c>
      <c r="D19" s="175">
        <f>46.514*1.075</f>
        <v>50.00255</v>
      </c>
      <c r="E19" s="417"/>
      <c r="F19" s="309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12" t="s">
        <v>19</v>
      </c>
      <c r="B20" s="61" t="s">
        <v>95</v>
      </c>
      <c r="C20" s="106">
        <v>583</v>
      </c>
      <c r="D20" s="173">
        <f>(5.48+3.138+0.093)*1.075</f>
        <v>9.364325</v>
      </c>
      <c r="E20" s="416">
        <v>5</v>
      </c>
      <c r="F20" s="330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3"/>
      <c r="B21" s="65" t="s">
        <v>96</v>
      </c>
      <c r="C21" s="107">
        <v>246</v>
      </c>
      <c r="D21" s="8">
        <f>(3.49+0.784+0.093)*1.075</f>
        <v>4.694525</v>
      </c>
      <c r="E21" s="417"/>
      <c r="F21" s="309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3"/>
      <c r="B22" s="65" t="s">
        <v>114</v>
      </c>
      <c r="C22" s="107">
        <v>17.25</v>
      </c>
      <c r="D22" s="175">
        <f>46.514*1.075</f>
        <v>50.00255</v>
      </c>
      <c r="E22" s="417"/>
      <c r="F22" s="309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12" t="s">
        <v>20</v>
      </c>
      <c r="B23" s="61" t="s">
        <v>95</v>
      </c>
      <c r="C23" s="106">
        <v>547</v>
      </c>
      <c r="D23" s="173">
        <f>(5.48+3.138+0.093)*1.075</f>
        <v>9.364325</v>
      </c>
      <c r="E23" s="416">
        <v>2</v>
      </c>
      <c r="F23" s="330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3"/>
      <c r="B24" s="65" t="s">
        <v>96</v>
      </c>
      <c r="C24" s="107">
        <v>297</v>
      </c>
      <c r="D24" s="8">
        <f>(3.49+0.784+0.093)*1.075</f>
        <v>4.694525</v>
      </c>
      <c r="E24" s="417"/>
      <c r="F24" s="309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3"/>
      <c r="B25" s="65" t="s">
        <v>114</v>
      </c>
      <c r="C25" s="107">
        <v>17.25</v>
      </c>
      <c r="D25" s="175">
        <f>46.514*1.075</f>
        <v>50.00255</v>
      </c>
      <c r="E25" s="417"/>
      <c r="F25" s="309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12" t="s">
        <v>69</v>
      </c>
      <c r="B26" s="61" t="s">
        <v>95</v>
      </c>
      <c r="C26" s="106">
        <v>71</v>
      </c>
      <c r="D26" s="173">
        <f>(5.48+3.138+0.093)*1.075</f>
        <v>9.364325</v>
      </c>
      <c r="E26" s="416">
        <v>2</v>
      </c>
      <c r="F26" s="330">
        <v>29.1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3"/>
      <c r="B27" s="65" t="s">
        <v>96</v>
      </c>
      <c r="C27" s="107">
        <v>85</v>
      </c>
      <c r="D27" s="8">
        <f>(3.49+0.784+0.093)*1.075</f>
        <v>4.694525</v>
      </c>
      <c r="E27" s="417"/>
      <c r="F27" s="309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3"/>
      <c r="B28" s="65" t="s">
        <v>114</v>
      </c>
      <c r="C28" s="107">
        <v>17.25</v>
      </c>
      <c r="D28" s="175">
        <f>46.514*1.075</f>
        <v>50.00255</v>
      </c>
      <c r="E28" s="417"/>
      <c r="F28" s="309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12" t="s">
        <v>70</v>
      </c>
      <c r="B29" s="61" t="s">
        <v>95</v>
      </c>
      <c r="C29" s="106">
        <v>0</v>
      </c>
      <c r="D29" s="173">
        <f>(5.48+3.138+0.093)*1.075</f>
        <v>9.364325</v>
      </c>
      <c r="E29" s="416">
        <v>0</v>
      </c>
      <c r="F29" s="330">
        <v>29.1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3"/>
      <c r="B30" s="65" t="s">
        <v>96</v>
      </c>
      <c r="C30" s="107">
        <v>0</v>
      </c>
      <c r="D30" s="8">
        <f>(3.49+0.784+0.093)*1.075</f>
        <v>4.694525</v>
      </c>
      <c r="E30" s="417"/>
      <c r="F30" s="309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3"/>
      <c r="B31" s="65" t="s">
        <v>114</v>
      </c>
      <c r="C31" s="107">
        <v>17.25</v>
      </c>
      <c r="D31" s="175">
        <f>46.514*1.075</f>
        <v>50.00255</v>
      </c>
      <c r="E31" s="417"/>
      <c r="F31" s="309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12" t="s">
        <v>22</v>
      </c>
      <c r="B32" s="61" t="s">
        <v>95</v>
      </c>
      <c r="C32" s="106">
        <v>57</v>
      </c>
      <c r="D32" s="173">
        <f>(5.48+3.138+0.093)*1.075</f>
        <v>9.364325</v>
      </c>
      <c r="E32" s="416">
        <v>0</v>
      </c>
      <c r="F32" s="330">
        <v>29.1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3"/>
      <c r="B33" s="65" t="s">
        <v>96</v>
      </c>
      <c r="C33" s="107">
        <v>167</v>
      </c>
      <c r="D33" s="8">
        <f>(3.49+0.784+0.093)*1.075</f>
        <v>4.694525</v>
      </c>
      <c r="E33" s="417"/>
      <c r="F33" s="309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3"/>
      <c r="B34" s="65" t="s">
        <v>114</v>
      </c>
      <c r="C34" s="107">
        <v>17.25</v>
      </c>
      <c r="D34" s="175">
        <f>46.514*1.075</f>
        <v>50.00255</v>
      </c>
      <c r="E34" s="417"/>
      <c r="F34" s="309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91" t="s">
        <v>23</v>
      </c>
      <c r="B35" s="189" t="s">
        <v>95</v>
      </c>
      <c r="C35" s="113">
        <v>229</v>
      </c>
      <c r="D35" s="173">
        <f>6.39+3.138+0.093</f>
        <v>9.620999999999999</v>
      </c>
      <c r="E35" s="494">
        <v>5</v>
      </c>
      <c r="F35" s="490">
        <v>29.1</v>
      </c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92"/>
      <c r="B36" s="65" t="s">
        <v>96</v>
      </c>
      <c r="C36" s="107">
        <v>138</v>
      </c>
      <c r="D36" s="8">
        <f>4.05+0.784+0.093</f>
        <v>4.927</v>
      </c>
      <c r="E36" s="417"/>
      <c r="F36" s="456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3"/>
      <c r="B37" s="190" t="s">
        <v>114</v>
      </c>
      <c r="C37" s="122">
        <v>17.25</v>
      </c>
      <c r="D37" s="175">
        <v>46.514</v>
      </c>
      <c r="E37" s="495"/>
      <c r="F37" s="457"/>
      <c r="G37" s="111"/>
      <c r="H37" s="5"/>
      <c r="I37" s="4"/>
      <c r="J37" s="5"/>
      <c r="K37" s="4"/>
      <c r="L37" s="5"/>
      <c r="M37" s="4"/>
      <c r="N37" s="5"/>
    </row>
    <row r="38" spans="1:14" ht="12.75">
      <c r="A38" s="413" t="s">
        <v>24</v>
      </c>
      <c r="B38" s="65" t="s">
        <v>95</v>
      </c>
      <c r="C38" s="107">
        <v>527</v>
      </c>
      <c r="D38" s="173">
        <f>6.39+3.138+0.093</f>
        <v>9.620999999999999</v>
      </c>
      <c r="E38" s="417">
        <v>2</v>
      </c>
      <c r="F38" s="309">
        <v>29.1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3"/>
      <c r="B39" s="65" t="s">
        <v>96</v>
      </c>
      <c r="C39" s="107">
        <v>180</v>
      </c>
      <c r="D39" s="8">
        <f>4.05+0.784+0.093</f>
        <v>4.927</v>
      </c>
      <c r="E39" s="417"/>
      <c r="F39" s="309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3"/>
      <c r="B40" s="65" t="s">
        <v>114</v>
      </c>
      <c r="C40" s="107">
        <v>17.25</v>
      </c>
      <c r="D40" s="175">
        <v>46.514</v>
      </c>
      <c r="E40" s="417"/>
      <c r="F40" s="309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12" t="s">
        <v>25</v>
      </c>
      <c r="B41" s="61" t="s">
        <v>95</v>
      </c>
      <c r="C41" s="106">
        <v>962</v>
      </c>
      <c r="D41" s="173">
        <f>6.39+3.138+0.093</f>
        <v>9.620999999999999</v>
      </c>
      <c r="E41" s="416">
        <v>5</v>
      </c>
      <c r="F41" s="330">
        <v>29.1</v>
      </c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3"/>
      <c r="B42" s="65" t="s">
        <v>96</v>
      </c>
      <c r="C42" s="107">
        <v>419</v>
      </c>
      <c r="D42" s="8">
        <f>4.05+0.784+0.093</f>
        <v>4.927</v>
      </c>
      <c r="E42" s="417"/>
      <c r="F42" s="309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3"/>
      <c r="B43" s="65" t="s">
        <v>114</v>
      </c>
      <c r="C43" s="107">
        <v>17.25</v>
      </c>
      <c r="D43" s="175">
        <v>46.514</v>
      </c>
      <c r="E43" s="417"/>
      <c r="F43" s="309"/>
      <c r="G43" s="4"/>
      <c r="H43" s="5"/>
      <c r="I43" s="4"/>
      <c r="J43" s="5"/>
      <c r="K43" s="4"/>
      <c r="L43" s="5"/>
      <c r="M43" s="4"/>
      <c r="N43" s="5"/>
    </row>
    <row r="44" spans="1:14" ht="12.75">
      <c r="A44" s="406" t="s">
        <v>26</v>
      </c>
      <c r="B44" s="172" t="s">
        <v>95</v>
      </c>
      <c r="C44" s="113"/>
      <c r="D44" s="173"/>
      <c r="E44" s="431"/>
      <c r="F44" s="490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07"/>
      <c r="B45" s="162" t="s">
        <v>96</v>
      </c>
      <c r="C45" s="107"/>
      <c r="D45" s="8"/>
      <c r="E45" s="324"/>
      <c r="F45" s="456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08"/>
      <c r="B46" s="174" t="s">
        <v>114</v>
      </c>
      <c r="C46" s="122"/>
      <c r="D46" s="175"/>
      <c r="E46" s="432"/>
      <c r="F46" s="402"/>
      <c r="G46" s="131"/>
      <c r="H46" s="131"/>
      <c r="I46" s="131"/>
      <c r="J46" s="131"/>
      <c r="K46" s="131"/>
      <c r="L46" s="131"/>
      <c r="M46" s="131"/>
      <c r="N46" s="13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7" t="s">
        <v>32</v>
      </c>
      <c r="B48" s="327"/>
      <c r="C48" s="327"/>
      <c r="D48" s="328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7" t="s">
        <v>35</v>
      </c>
      <c r="C50" s="327"/>
      <c r="D50" s="327"/>
      <c r="E50" s="328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7" t="s">
        <v>34</v>
      </c>
      <c r="C51" s="327"/>
      <c r="D51" s="32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5">
      <selection activeCell="F30" sqref="F30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5" customHeight="1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5" customHeight="1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5" customHeight="1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444" t="s">
        <v>27</v>
      </c>
      <c r="H9" s="445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customHeight="1" thickBot="1">
      <c r="A10" s="312"/>
      <c r="B10" s="499"/>
      <c r="C10" s="340"/>
      <c r="D10" s="309"/>
      <c r="E10" s="314"/>
      <c r="F10" s="331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25" t="s">
        <v>16</v>
      </c>
      <c r="B11" s="131" t="s">
        <v>101</v>
      </c>
      <c r="C11" s="143">
        <v>0</v>
      </c>
      <c r="D11" s="131">
        <f>(5.48+3.138+0.093)*1.075</f>
        <v>9.364325</v>
      </c>
      <c r="E11" s="88"/>
      <c r="F11" s="6"/>
      <c r="G11" s="9"/>
      <c r="H11" s="141"/>
      <c r="I11" s="447"/>
      <c r="J11" s="447"/>
      <c r="K11" s="131"/>
      <c r="L11" s="131"/>
      <c r="M11" s="131"/>
      <c r="N11" s="131"/>
    </row>
    <row r="12" spans="1:14" ht="15" customHeight="1">
      <c r="A12" s="483"/>
      <c r="B12" s="132" t="s">
        <v>116</v>
      </c>
      <c r="C12" s="132">
        <v>0</v>
      </c>
      <c r="D12" s="131">
        <f>(3.49+0.784+0.093)*1.075</f>
        <v>4.694525</v>
      </c>
      <c r="E12" s="85"/>
      <c r="F12" s="8"/>
      <c r="G12" s="12"/>
      <c r="H12" s="140"/>
      <c r="I12" s="448"/>
      <c r="J12" s="448"/>
      <c r="K12" s="131"/>
      <c r="L12" s="131"/>
      <c r="M12" s="131"/>
      <c r="N12" s="131"/>
    </row>
    <row r="13" spans="1:14" ht="15" customHeight="1">
      <c r="A13" s="338"/>
      <c r="B13" s="132" t="s">
        <v>112</v>
      </c>
      <c r="C13" s="132">
        <v>34.5</v>
      </c>
      <c r="D13" s="131">
        <f>46.514*1.075</f>
        <v>50.00255</v>
      </c>
      <c r="E13" s="86"/>
      <c r="F13" s="22"/>
      <c r="G13" s="12"/>
      <c r="H13" s="140"/>
      <c r="I13" s="449"/>
      <c r="J13" s="449"/>
      <c r="K13" s="131"/>
      <c r="L13" s="131"/>
      <c r="M13" s="131"/>
      <c r="N13" s="131"/>
    </row>
    <row r="14" spans="1:14" ht="15" customHeight="1">
      <c r="A14" s="337" t="s">
        <v>17</v>
      </c>
      <c r="B14" s="131" t="s">
        <v>101</v>
      </c>
      <c r="C14" s="131">
        <v>0</v>
      </c>
      <c r="D14" s="131">
        <f>(5.48+3.138+0.093)*1.075</f>
        <v>9.364325</v>
      </c>
      <c r="E14" s="85"/>
      <c r="F14" s="8"/>
      <c r="G14" s="12"/>
      <c r="H14" s="140"/>
      <c r="I14" s="500"/>
      <c r="J14" s="447"/>
      <c r="K14" s="131"/>
      <c r="L14" s="131"/>
      <c r="M14" s="131"/>
      <c r="N14" s="131"/>
    </row>
    <row r="15" spans="1:14" ht="15" customHeight="1">
      <c r="A15" s="483"/>
      <c r="B15" s="131" t="s">
        <v>102</v>
      </c>
      <c r="C15" s="131">
        <v>0</v>
      </c>
      <c r="D15" s="131">
        <f>(3.49+0.784+0.093)*1.075</f>
        <v>4.694525</v>
      </c>
      <c r="E15" s="85"/>
      <c r="F15" s="8"/>
      <c r="G15" s="12"/>
      <c r="H15" s="140"/>
      <c r="I15" s="501"/>
      <c r="J15" s="448"/>
      <c r="K15" s="131"/>
      <c r="L15" s="131"/>
      <c r="M15" s="131"/>
      <c r="N15" s="131"/>
    </row>
    <row r="16" spans="1:14" ht="15" customHeight="1">
      <c r="A16" s="338"/>
      <c r="B16" s="131" t="s">
        <v>114</v>
      </c>
      <c r="C16" s="131">
        <v>34.5</v>
      </c>
      <c r="D16" s="131">
        <f>46.514*1.075</f>
        <v>50.00255</v>
      </c>
      <c r="E16" s="76"/>
      <c r="F16" s="16"/>
      <c r="G16" s="11"/>
      <c r="H16" s="142"/>
      <c r="I16" s="502"/>
      <c r="J16" s="449"/>
      <c r="K16" s="111"/>
      <c r="L16" s="5"/>
      <c r="M16" s="4"/>
      <c r="N16" s="5"/>
    </row>
    <row r="17" spans="1:14" ht="15" customHeight="1">
      <c r="A17" s="337" t="s">
        <v>18</v>
      </c>
      <c r="B17" s="131" t="s">
        <v>101</v>
      </c>
      <c r="C17" s="143">
        <v>0</v>
      </c>
      <c r="D17" s="131">
        <f>(5.48+3.138+0.093)*1.075</f>
        <v>9.364325</v>
      </c>
      <c r="E17" s="76"/>
      <c r="F17" s="16"/>
      <c r="G17" s="11"/>
      <c r="H17" s="13"/>
      <c r="I17" s="416">
        <v>2000</v>
      </c>
      <c r="J17" s="330">
        <v>120.12</v>
      </c>
      <c r="K17" s="4"/>
      <c r="L17" s="5"/>
      <c r="M17" s="4"/>
      <c r="N17" s="5"/>
    </row>
    <row r="18" spans="1:14" ht="15" customHeight="1">
      <c r="A18" s="483"/>
      <c r="B18" s="132" t="s">
        <v>102</v>
      </c>
      <c r="C18" s="131">
        <v>0</v>
      </c>
      <c r="D18" s="131">
        <f>(3.49+0.784+0.093)*1.075</f>
        <v>4.694525</v>
      </c>
      <c r="E18" s="76"/>
      <c r="F18" s="16"/>
      <c r="G18" s="11"/>
      <c r="H18" s="13"/>
      <c r="I18" s="417"/>
      <c r="J18" s="309"/>
      <c r="K18" s="4"/>
      <c r="L18" s="5"/>
      <c r="M18" s="4"/>
      <c r="N18" s="5"/>
    </row>
    <row r="19" spans="1:14" ht="15" customHeight="1">
      <c r="A19" s="483"/>
      <c r="B19" s="131" t="s">
        <v>114</v>
      </c>
      <c r="C19" s="131">
        <v>34.5</v>
      </c>
      <c r="D19" s="131">
        <f>46.514*1.075</f>
        <v>50.00255</v>
      </c>
      <c r="E19" s="76"/>
      <c r="F19" s="16"/>
      <c r="G19" s="11"/>
      <c r="H19" s="13"/>
      <c r="I19" s="428"/>
      <c r="J19" s="336"/>
      <c r="K19" s="4"/>
      <c r="L19" s="5"/>
      <c r="M19" s="4"/>
      <c r="N19" s="5"/>
    </row>
    <row r="20" spans="1:14" ht="15" customHeight="1">
      <c r="A20" s="496" t="s">
        <v>19</v>
      </c>
      <c r="B20" s="131" t="s">
        <v>101</v>
      </c>
      <c r="C20" s="109">
        <f>2290+608</f>
        <v>2898</v>
      </c>
      <c r="D20" s="131">
        <f>(5.48+3.138+0.093)*1.075</f>
        <v>9.364325</v>
      </c>
      <c r="E20" s="111"/>
      <c r="F20" s="5"/>
      <c r="G20" s="4"/>
      <c r="H20" s="5"/>
      <c r="I20" s="416">
        <v>1500</v>
      </c>
      <c r="J20" s="330">
        <v>117.87</v>
      </c>
      <c r="K20" s="4"/>
      <c r="L20" s="5"/>
      <c r="M20" s="4"/>
      <c r="N20" s="5"/>
    </row>
    <row r="21" spans="1:14" ht="15" customHeight="1">
      <c r="A21" s="497"/>
      <c r="B21" s="132" t="s">
        <v>102</v>
      </c>
      <c r="C21" s="109">
        <f>1145+106</f>
        <v>1251</v>
      </c>
      <c r="D21" s="131">
        <f>(3.49+0.784+0.093)*1.075</f>
        <v>4.694525</v>
      </c>
      <c r="E21" s="111"/>
      <c r="F21" s="5"/>
      <c r="G21" s="4"/>
      <c r="H21" s="5"/>
      <c r="I21" s="417"/>
      <c r="J21" s="309"/>
      <c r="K21" s="4"/>
      <c r="L21" s="5"/>
      <c r="M21" s="4"/>
      <c r="N21" s="5"/>
    </row>
    <row r="22" spans="1:14" ht="15" customHeight="1">
      <c r="A22" s="498"/>
      <c r="B22" s="131" t="s">
        <v>114</v>
      </c>
      <c r="C22" s="109">
        <v>34.5</v>
      </c>
      <c r="D22" s="131">
        <f>46.514*1.075</f>
        <v>50.00255</v>
      </c>
      <c r="E22" s="111"/>
      <c r="F22" s="5"/>
      <c r="G22" s="4"/>
      <c r="H22" s="5"/>
      <c r="I22" s="428"/>
      <c r="J22" s="336"/>
      <c r="K22" s="4"/>
      <c r="L22" s="5"/>
      <c r="M22" s="4"/>
      <c r="N22" s="5"/>
    </row>
    <row r="23" spans="1:14" ht="15" customHeight="1">
      <c r="A23" s="496" t="s">
        <v>20</v>
      </c>
      <c r="B23" s="131" t="s">
        <v>101</v>
      </c>
      <c r="C23" s="109">
        <v>0</v>
      </c>
      <c r="D23" s="131">
        <f>(5.48+3.138+0.093)*1.075</f>
        <v>9.364325</v>
      </c>
      <c r="E23" s="111"/>
      <c r="F23" s="5"/>
      <c r="G23" s="4"/>
      <c r="H23" s="5"/>
      <c r="I23" s="416"/>
      <c r="J23" s="330"/>
      <c r="K23" s="4"/>
      <c r="L23" s="5"/>
      <c r="M23" s="4"/>
      <c r="N23" s="5"/>
    </row>
    <row r="24" spans="1:14" ht="15" customHeight="1">
      <c r="A24" s="497"/>
      <c r="B24" s="132" t="s">
        <v>102</v>
      </c>
      <c r="C24" s="109">
        <v>0</v>
      </c>
      <c r="D24" s="131">
        <f>(3.49+0.784+0.093)*1.075</f>
        <v>4.694525</v>
      </c>
      <c r="E24" s="111"/>
      <c r="F24" s="5"/>
      <c r="G24" s="4"/>
      <c r="H24" s="5"/>
      <c r="I24" s="417"/>
      <c r="J24" s="309"/>
      <c r="K24" s="4"/>
      <c r="L24" s="5"/>
      <c r="M24" s="4"/>
      <c r="N24" s="5"/>
    </row>
    <row r="25" spans="1:14" ht="15" customHeight="1">
      <c r="A25" s="498"/>
      <c r="B25" s="131" t="s">
        <v>114</v>
      </c>
      <c r="C25" s="109">
        <v>34.5</v>
      </c>
      <c r="D25" s="131">
        <f>46.514*1.075</f>
        <v>50.00255</v>
      </c>
      <c r="E25" s="111"/>
      <c r="F25" s="5"/>
      <c r="G25" s="4"/>
      <c r="H25" s="5"/>
      <c r="I25" s="428"/>
      <c r="J25" s="336"/>
      <c r="K25" s="4"/>
      <c r="L25" s="5"/>
      <c r="M25" s="4"/>
      <c r="N25" s="5"/>
    </row>
    <row r="26" spans="1:14" ht="15" customHeight="1">
      <c r="A26" s="496" t="s">
        <v>21</v>
      </c>
      <c r="B26" s="131" t="s">
        <v>101</v>
      </c>
      <c r="C26" s="109">
        <v>0</v>
      </c>
      <c r="D26" s="131">
        <f>(5.48+3.138+0.093)*1.075</f>
        <v>9.364325</v>
      </c>
      <c r="E26" s="111"/>
      <c r="F26" s="5"/>
      <c r="G26" s="4"/>
      <c r="H26" s="5"/>
      <c r="I26" s="416"/>
      <c r="J26" s="330"/>
      <c r="K26" s="4"/>
      <c r="L26" s="5"/>
      <c r="M26" s="4"/>
      <c r="N26" s="5"/>
    </row>
    <row r="27" spans="1:14" ht="15" customHeight="1">
      <c r="A27" s="497"/>
      <c r="B27" s="132" t="s">
        <v>102</v>
      </c>
      <c r="C27" s="109">
        <v>0</v>
      </c>
      <c r="D27" s="131">
        <f>(3.49+0.784+0.093)*1.075</f>
        <v>4.694525</v>
      </c>
      <c r="E27" s="111"/>
      <c r="F27" s="5"/>
      <c r="G27" s="4"/>
      <c r="H27" s="5"/>
      <c r="I27" s="417"/>
      <c r="J27" s="309"/>
      <c r="K27" s="4"/>
      <c r="L27" s="5"/>
      <c r="M27" s="4"/>
      <c r="N27" s="5"/>
    </row>
    <row r="28" spans="1:14" ht="15" customHeight="1">
      <c r="A28" s="498"/>
      <c r="B28" s="131" t="s">
        <v>114</v>
      </c>
      <c r="C28" s="109">
        <v>34.4</v>
      </c>
      <c r="D28" s="131">
        <f>46.514*1.075</f>
        <v>50.00255</v>
      </c>
      <c r="E28" s="111"/>
      <c r="F28" s="5"/>
      <c r="G28" s="4"/>
      <c r="H28" s="5"/>
      <c r="I28" s="428"/>
      <c r="J28" s="336"/>
      <c r="K28" s="4"/>
      <c r="L28" s="5"/>
      <c r="M28" s="4"/>
      <c r="N28" s="5"/>
    </row>
    <row r="29" spans="1:14" ht="15" customHeight="1">
      <c r="A29" s="496" t="s">
        <v>70</v>
      </c>
      <c r="B29" s="131" t="s">
        <v>101</v>
      </c>
      <c r="C29" s="109">
        <f>675+399</f>
        <v>1074</v>
      </c>
      <c r="D29" s="131">
        <f>(5.48+3.138+0.093)*1.075</f>
        <v>9.364325</v>
      </c>
      <c r="E29" s="111"/>
      <c r="F29" s="5"/>
      <c r="G29" s="4"/>
      <c r="H29" s="5"/>
      <c r="I29" s="416"/>
      <c r="J29" s="330"/>
      <c r="K29" s="4"/>
      <c r="L29" s="5"/>
      <c r="M29" s="4"/>
      <c r="N29" s="5"/>
    </row>
    <row r="30" spans="1:14" ht="15" customHeight="1">
      <c r="A30" s="497"/>
      <c r="B30" s="132" t="s">
        <v>102</v>
      </c>
      <c r="C30" s="109">
        <f>338+8</f>
        <v>346</v>
      </c>
      <c r="D30" s="131">
        <f>(3.49+0.784+0.093)*1.075</f>
        <v>4.694525</v>
      </c>
      <c r="E30" s="111"/>
      <c r="F30" s="5"/>
      <c r="G30" s="4"/>
      <c r="H30" s="5"/>
      <c r="I30" s="417"/>
      <c r="J30" s="309"/>
      <c r="K30" s="4"/>
      <c r="L30" s="5"/>
      <c r="M30" s="4"/>
      <c r="N30" s="5"/>
    </row>
    <row r="31" spans="1:14" ht="15" customHeight="1">
      <c r="A31" s="498"/>
      <c r="B31" s="131" t="s">
        <v>114</v>
      </c>
      <c r="C31" s="109">
        <v>34.4</v>
      </c>
      <c r="D31" s="131">
        <f>46.514*1.075</f>
        <v>50.00255</v>
      </c>
      <c r="E31" s="111"/>
      <c r="F31" s="5"/>
      <c r="G31" s="4"/>
      <c r="H31" s="5"/>
      <c r="I31" s="428"/>
      <c r="J31" s="336"/>
      <c r="K31" s="4"/>
      <c r="L31" s="5"/>
      <c r="M31" s="4"/>
      <c r="N31" s="5"/>
    </row>
    <row r="32" spans="1:14" ht="15" customHeight="1">
      <c r="A32" s="496" t="s">
        <v>22</v>
      </c>
      <c r="B32" s="131" t="s">
        <v>101</v>
      </c>
      <c r="C32" s="220">
        <v>0</v>
      </c>
      <c r="D32" s="131">
        <f>(5.48+3.138+0.093)*1.075</f>
        <v>9.364325</v>
      </c>
      <c r="E32" s="111"/>
      <c r="F32" s="5"/>
      <c r="G32" s="4"/>
      <c r="H32" s="5"/>
      <c r="I32" s="416"/>
      <c r="J32" s="330"/>
      <c r="K32" s="4"/>
      <c r="L32" s="5"/>
      <c r="M32" s="4"/>
      <c r="N32" s="5"/>
    </row>
    <row r="33" spans="1:14" ht="15" customHeight="1">
      <c r="A33" s="497"/>
      <c r="B33" s="132" t="s">
        <v>102</v>
      </c>
      <c r="C33" s="109">
        <v>0</v>
      </c>
      <c r="D33" s="131">
        <f>(3.49+0.784+0.093)*1.075</f>
        <v>4.694525</v>
      </c>
      <c r="E33" s="111"/>
      <c r="F33" s="5"/>
      <c r="G33" s="4"/>
      <c r="H33" s="5"/>
      <c r="I33" s="417"/>
      <c r="J33" s="309"/>
      <c r="K33" s="4"/>
      <c r="L33" s="5"/>
      <c r="M33" s="4"/>
      <c r="N33" s="5"/>
    </row>
    <row r="34" spans="1:14" ht="15" customHeight="1">
      <c r="A34" s="498"/>
      <c r="B34" s="131" t="s">
        <v>114</v>
      </c>
      <c r="C34" s="109">
        <v>34.5</v>
      </c>
      <c r="D34" s="131">
        <f>46.514*1.075</f>
        <v>50.00255</v>
      </c>
      <c r="E34" s="111"/>
      <c r="F34" s="5"/>
      <c r="G34" s="4"/>
      <c r="H34" s="5"/>
      <c r="I34" s="428"/>
      <c r="J34" s="336"/>
      <c r="K34" s="4"/>
      <c r="L34" s="5"/>
      <c r="M34" s="4"/>
      <c r="N34" s="5"/>
    </row>
    <row r="35" spans="1:14" ht="15" customHeight="1">
      <c r="A35" s="337" t="s">
        <v>23</v>
      </c>
      <c r="B35" s="131" t="s">
        <v>101</v>
      </c>
      <c r="C35" s="131">
        <f>0</f>
        <v>0</v>
      </c>
      <c r="D35" s="131">
        <f>6.39+3.138+0.093</f>
        <v>9.620999999999999</v>
      </c>
      <c r="E35" s="111"/>
      <c r="F35" s="5"/>
      <c r="G35" s="4"/>
      <c r="H35" s="5"/>
      <c r="I35" s="416"/>
      <c r="J35" s="330"/>
      <c r="K35" s="4"/>
      <c r="L35" s="5"/>
      <c r="M35" s="4"/>
      <c r="N35" s="5"/>
    </row>
    <row r="36" spans="1:14" ht="15" customHeight="1">
      <c r="A36" s="483"/>
      <c r="B36" s="132" t="s">
        <v>102</v>
      </c>
      <c r="C36" s="131">
        <v>0</v>
      </c>
      <c r="D36" s="131">
        <f>4.05+0.784+0.093</f>
        <v>4.927</v>
      </c>
      <c r="E36" s="111"/>
      <c r="F36" s="5"/>
      <c r="G36" s="4"/>
      <c r="H36" s="5"/>
      <c r="I36" s="417"/>
      <c r="J36" s="309"/>
      <c r="K36" s="4"/>
      <c r="L36" s="5"/>
      <c r="M36" s="4"/>
      <c r="N36" s="5"/>
    </row>
    <row r="37" spans="1:14" ht="15" customHeight="1">
      <c r="A37" s="338"/>
      <c r="B37" s="131" t="s">
        <v>114</v>
      </c>
      <c r="C37" s="131">
        <v>34.5</v>
      </c>
      <c r="D37" s="131">
        <v>46.514</v>
      </c>
      <c r="E37" s="111"/>
      <c r="F37" s="5"/>
      <c r="G37" s="4"/>
      <c r="H37" s="5"/>
      <c r="I37" s="428"/>
      <c r="J37" s="336"/>
      <c r="K37" s="4"/>
      <c r="L37" s="5"/>
      <c r="M37" s="4"/>
      <c r="N37" s="5"/>
    </row>
    <row r="38" spans="1:14" ht="15" customHeight="1">
      <c r="A38" s="337" t="s">
        <v>24</v>
      </c>
      <c r="B38" s="131" t="s">
        <v>101</v>
      </c>
      <c r="C38" s="143">
        <f>498+280</f>
        <v>778</v>
      </c>
      <c r="D38" s="131">
        <f>6.39+3.138+0.093</f>
        <v>9.620999999999999</v>
      </c>
      <c r="E38" s="111"/>
      <c r="F38" s="5"/>
      <c r="G38" s="4"/>
      <c r="H38" s="5"/>
      <c r="I38" s="503">
        <v>2640</v>
      </c>
      <c r="J38" s="447">
        <f>111.45*1.2</f>
        <v>133.74</v>
      </c>
      <c r="K38" s="4"/>
      <c r="L38" s="5"/>
      <c r="M38" s="4"/>
      <c r="N38" s="5"/>
    </row>
    <row r="39" spans="1:14" ht="15" customHeight="1">
      <c r="A39" s="483"/>
      <c r="B39" s="132" t="s">
        <v>102</v>
      </c>
      <c r="C39" s="143">
        <v>7</v>
      </c>
      <c r="D39" s="131">
        <f>4.05+0.784+0.093</f>
        <v>4.927</v>
      </c>
      <c r="E39" s="111"/>
      <c r="F39" s="5"/>
      <c r="G39" s="4"/>
      <c r="H39" s="5"/>
      <c r="I39" s="504"/>
      <c r="J39" s="448"/>
      <c r="K39" s="4"/>
      <c r="L39" s="5"/>
      <c r="M39" s="4"/>
      <c r="N39" s="5"/>
    </row>
    <row r="40" spans="1:14" ht="15" customHeight="1">
      <c r="A40" s="338"/>
      <c r="B40" s="131" t="s">
        <v>114</v>
      </c>
      <c r="C40" s="131">
        <v>34.5</v>
      </c>
      <c r="D40" s="131">
        <v>46.514</v>
      </c>
      <c r="E40" s="111"/>
      <c r="F40" s="5"/>
      <c r="G40" s="4"/>
      <c r="H40" s="5"/>
      <c r="I40" s="505"/>
      <c r="J40" s="449"/>
      <c r="K40" s="4"/>
      <c r="L40" s="5"/>
      <c r="M40" s="4"/>
      <c r="N40" s="5"/>
    </row>
    <row r="41" spans="1:14" ht="15" customHeight="1">
      <c r="A41" s="337" t="s">
        <v>25</v>
      </c>
      <c r="B41" s="131" t="s">
        <v>101</v>
      </c>
      <c r="C41" s="131">
        <v>0</v>
      </c>
      <c r="D41" s="131">
        <f>6.39+3.138+0.093</f>
        <v>9.620999999999999</v>
      </c>
      <c r="E41" s="111"/>
      <c r="F41" s="5"/>
      <c r="G41" s="4"/>
      <c r="H41" s="5"/>
      <c r="I41" s="416"/>
      <c r="J41" s="330"/>
      <c r="K41" s="4"/>
      <c r="L41" s="5"/>
      <c r="M41" s="4"/>
      <c r="N41" s="5"/>
    </row>
    <row r="42" spans="1:14" ht="15" customHeight="1">
      <c r="A42" s="483"/>
      <c r="B42" s="132" t="s">
        <v>102</v>
      </c>
      <c r="C42" s="131">
        <v>0</v>
      </c>
      <c r="D42" s="131">
        <f>4.05+0.784+0.093</f>
        <v>4.927</v>
      </c>
      <c r="E42" s="111"/>
      <c r="F42" s="5"/>
      <c r="G42" s="4"/>
      <c r="H42" s="5"/>
      <c r="I42" s="417"/>
      <c r="J42" s="309"/>
      <c r="K42" s="4"/>
      <c r="L42" s="5"/>
      <c r="M42" s="4"/>
      <c r="N42" s="5"/>
    </row>
    <row r="43" spans="1:14" ht="15" customHeight="1">
      <c r="A43" s="338"/>
      <c r="B43" s="131" t="s">
        <v>114</v>
      </c>
      <c r="C43" s="131">
        <v>34.5</v>
      </c>
      <c r="D43" s="131">
        <v>46.514</v>
      </c>
      <c r="E43" s="111"/>
      <c r="F43" s="5"/>
      <c r="G43" s="4"/>
      <c r="H43" s="5"/>
      <c r="I43" s="428"/>
      <c r="J43" s="336"/>
      <c r="K43" s="4"/>
      <c r="L43" s="5"/>
      <c r="M43" s="4"/>
      <c r="N43" s="5"/>
    </row>
    <row r="44" spans="1:14" ht="15" customHeight="1">
      <c r="A44" s="337" t="s">
        <v>26</v>
      </c>
      <c r="B44" s="131" t="s">
        <v>101</v>
      </c>
      <c r="C44" s="143"/>
      <c r="D44" s="131"/>
      <c r="E44" s="76"/>
      <c r="F44" s="15"/>
      <c r="G44" s="14"/>
      <c r="H44" s="15"/>
      <c r="I44" s="416"/>
      <c r="J44" s="330"/>
      <c r="K44" s="14"/>
      <c r="L44" s="15"/>
      <c r="M44" s="14"/>
      <c r="N44" s="15"/>
    </row>
    <row r="45" spans="1:14" ht="15" customHeight="1">
      <c r="A45" s="483"/>
      <c r="B45" s="132" t="s">
        <v>102</v>
      </c>
      <c r="C45" s="143"/>
      <c r="D45" s="131"/>
      <c r="E45" s="76"/>
      <c r="F45" s="15"/>
      <c r="G45" s="14"/>
      <c r="H45" s="15"/>
      <c r="I45" s="417"/>
      <c r="J45" s="309"/>
      <c r="K45" s="14"/>
      <c r="L45" s="15"/>
      <c r="M45" s="14"/>
      <c r="N45" s="15"/>
    </row>
    <row r="46" spans="1:14" ht="15" customHeight="1" thickBot="1">
      <c r="A46" s="341"/>
      <c r="B46" s="131" t="s">
        <v>114</v>
      </c>
      <c r="C46" s="131"/>
      <c r="D46" s="131"/>
      <c r="E46" s="75"/>
      <c r="F46" s="3"/>
      <c r="G46" s="2"/>
      <c r="H46" s="3"/>
      <c r="I46" s="314"/>
      <c r="J46" s="331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22">
      <selection activeCell="D41" sqref="D41:D43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67" t="s">
        <v>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  <c r="O6" s="42"/>
    </row>
    <row r="7" spans="1:15" ht="9.75" customHeight="1" thickBot="1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  <c r="O7" s="42"/>
    </row>
    <row r="8" spans="1:15" ht="15" customHeight="1" thickBot="1" thickTop="1">
      <c r="A8" s="273" t="s">
        <v>6</v>
      </c>
      <c r="B8" s="276" t="s">
        <v>7</v>
      </c>
      <c r="C8" s="255"/>
      <c r="D8" s="256"/>
      <c r="E8" s="276" t="s">
        <v>11</v>
      </c>
      <c r="F8" s="256"/>
      <c r="G8" s="291" t="s">
        <v>15</v>
      </c>
      <c r="H8" s="257"/>
      <c r="I8" s="257"/>
      <c r="J8" s="257"/>
      <c r="K8" s="257"/>
      <c r="L8" s="257"/>
      <c r="M8" s="257"/>
      <c r="N8" s="294"/>
      <c r="O8" s="42"/>
    </row>
    <row r="9" spans="1:15" ht="15" customHeight="1" thickTop="1">
      <c r="A9" s="274"/>
      <c r="B9" s="260" t="s">
        <v>8</v>
      </c>
      <c r="C9" s="279"/>
      <c r="D9" s="265" t="s">
        <v>9</v>
      </c>
      <c r="E9" s="258" t="s">
        <v>67</v>
      </c>
      <c r="F9" s="265" t="s">
        <v>9</v>
      </c>
      <c r="G9" s="281" t="s">
        <v>27</v>
      </c>
      <c r="H9" s="282"/>
      <c r="I9" s="281" t="s">
        <v>28</v>
      </c>
      <c r="J9" s="282"/>
      <c r="K9" s="281" t="s">
        <v>13</v>
      </c>
      <c r="L9" s="282"/>
      <c r="M9" s="281" t="s">
        <v>14</v>
      </c>
      <c r="N9" s="282"/>
      <c r="O9" s="42"/>
    </row>
    <row r="10" spans="1:15" ht="15" customHeight="1" thickBot="1">
      <c r="A10" s="275"/>
      <c r="B10" s="289"/>
      <c r="C10" s="292"/>
      <c r="D10" s="295"/>
      <c r="E10" s="259"/>
      <c r="F10" s="297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60" t="s">
        <v>16</v>
      </c>
      <c r="B11" s="146" t="s">
        <v>95</v>
      </c>
      <c r="C11" s="213">
        <v>2900</v>
      </c>
      <c r="D11" s="235">
        <f>(5.48+2.233+0.093)*1.075</f>
        <v>8.39145</v>
      </c>
      <c r="E11" s="279">
        <v>105</v>
      </c>
      <c r="F11" s="265">
        <v>25.76</v>
      </c>
      <c r="G11" s="266">
        <f>151.23*84</f>
        <v>12703.32</v>
      </c>
      <c r="H11" s="294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89"/>
      <c r="B12" s="147" t="s">
        <v>96</v>
      </c>
      <c r="C12" s="107">
        <v>940</v>
      </c>
      <c r="D12" s="236">
        <f>(3.49+0.744+0.093)*1.075</f>
        <v>4.6515249999999995</v>
      </c>
      <c r="E12" s="292"/>
      <c r="F12" s="295"/>
      <c r="G12" s="277"/>
      <c r="H12" s="295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90"/>
      <c r="B13" s="237" t="s">
        <v>108</v>
      </c>
      <c r="C13" s="122">
        <v>33</v>
      </c>
      <c r="D13" s="238">
        <f>148.844*1.075</f>
        <v>160.0073</v>
      </c>
      <c r="E13" s="293"/>
      <c r="F13" s="296"/>
      <c r="G13" s="280"/>
      <c r="H13" s="296"/>
      <c r="I13" s="48"/>
      <c r="J13" s="49"/>
      <c r="K13" s="48"/>
      <c r="L13" s="49"/>
      <c r="M13" s="48"/>
      <c r="N13" s="49"/>
      <c r="O13" s="42"/>
    </row>
    <row r="14" spans="1:15" ht="15" customHeight="1">
      <c r="A14" s="288" t="s">
        <v>17</v>
      </c>
      <c r="B14" s="97" t="s">
        <v>95</v>
      </c>
      <c r="C14" s="206">
        <v>3100</v>
      </c>
      <c r="D14" s="235">
        <f>(5.48+2.233+0.093)*1.075</f>
        <v>8.39145</v>
      </c>
      <c r="E14" s="291">
        <v>3</v>
      </c>
      <c r="F14" s="294">
        <v>25.75</v>
      </c>
      <c r="G14" s="300">
        <f>151.23*84</f>
        <v>12703.32</v>
      </c>
      <c r="H14" s="294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89"/>
      <c r="B15" s="97" t="s">
        <v>96</v>
      </c>
      <c r="C15" s="92">
        <v>1000</v>
      </c>
      <c r="D15" s="236">
        <f>(3.49+0.744+0.093)*1.075</f>
        <v>4.6515249999999995</v>
      </c>
      <c r="E15" s="292"/>
      <c r="F15" s="295"/>
      <c r="G15" s="277"/>
      <c r="H15" s="295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90"/>
      <c r="B16" s="95" t="s">
        <v>108</v>
      </c>
      <c r="C16" s="92">
        <v>33</v>
      </c>
      <c r="D16" s="238">
        <f>148.844*1.075</f>
        <v>160.0073</v>
      </c>
      <c r="E16" s="292"/>
      <c r="F16" s="295"/>
      <c r="G16" s="277"/>
      <c r="H16" s="296"/>
      <c r="I16" s="50"/>
      <c r="J16" s="51"/>
      <c r="K16" s="50"/>
      <c r="L16" s="51"/>
      <c r="M16" s="50"/>
      <c r="N16" s="51"/>
      <c r="O16" s="42"/>
    </row>
    <row r="17" spans="1:15" ht="15" customHeight="1">
      <c r="A17" s="288" t="s">
        <v>18</v>
      </c>
      <c r="B17" s="99" t="s">
        <v>95</v>
      </c>
      <c r="C17" s="207">
        <v>3200</v>
      </c>
      <c r="D17" s="235">
        <f>(5.48+2.233+0.093)*1.075</f>
        <v>8.39145</v>
      </c>
      <c r="E17" s="291">
        <f>30+6</f>
        <v>36</v>
      </c>
      <c r="F17" s="294">
        <v>25.76</v>
      </c>
      <c r="G17" s="300">
        <f>151.23*84</f>
        <v>12703.32</v>
      </c>
      <c r="H17" s="294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89"/>
      <c r="B18" s="97" t="s">
        <v>96</v>
      </c>
      <c r="C18" s="92">
        <v>920</v>
      </c>
      <c r="D18" s="236">
        <f>(3.49+0.744+0.093)*1.075</f>
        <v>4.6515249999999995</v>
      </c>
      <c r="E18" s="292"/>
      <c r="F18" s="295"/>
      <c r="G18" s="277"/>
      <c r="H18" s="295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90"/>
      <c r="B19" s="95" t="s">
        <v>108</v>
      </c>
      <c r="C19" s="91">
        <v>33</v>
      </c>
      <c r="D19" s="238">
        <f>148.844*1.075</f>
        <v>160.0073</v>
      </c>
      <c r="E19" s="293"/>
      <c r="F19" s="296"/>
      <c r="G19" s="280"/>
      <c r="H19" s="296"/>
      <c r="I19" s="48"/>
      <c r="J19" s="49"/>
      <c r="K19" s="48"/>
      <c r="L19" s="49"/>
      <c r="M19" s="48"/>
      <c r="N19" s="49"/>
      <c r="O19" s="42"/>
    </row>
    <row r="20" spans="1:15" ht="15" customHeight="1">
      <c r="A20" s="288" t="s">
        <v>19</v>
      </c>
      <c r="B20" s="99" t="s">
        <v>95</v>
      </c>
      <c r="C20" s="207">
        <v>2840</v>
      </c>
      <c r="D20" s="235">
        <f>(5.48+2.233+0.093)*1.075</f>
        <v>8.39145</v>
      </c>
      <c r="E20" s="291">
        <v>82</v>
      </c>
      <c r="F20" s="294">
        <v>25.76</v>
      </c>
      <c r="G20" s="300">
        <f>151.23*84</f>
        <v>12703.32</v>
      </c>
      <c r="H20" s="294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89"/>
      <c r="B21" s="97" t="s">
        <v>96</v>
      </c>
      <c r="C21" s="92">
        <v>880</v>
      </c>
      <c r="D21" s="236">
        <f>(3.49+0.744+0.093)*1.075</f>
        <v>4.6515249999999995</v>
      </c>
      <c r="E21" s="292"/>
      <c r="F21" s="295"/>
      <c r="G21" s="277"/>
      <c r="H21" s="295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90"/>
      <c r="B22" s="95" t="s">
        <v>108</v>
      </c>
      <c r="C22" s="91">
        <v>33</v>
      </c>
      <c r="D22" s="238">
        <f>148.844*1.075</f>
        <v>160.0073</v>
      </c>
      <c r="E22" s="293"/>
      <c r="F22" s="296"/>
      <c r="G22" s="280"/>
      <c r="H22" s="296"/>
      <c r="I22" s="48"/>
      <c r="J22" s="49"/>
      <c r="K22" s="48"/>
      <c r="L22" s="49"/>
      <c r="M22" s="48"/>
      <c r="N22" s="49"/>
      <c r="O22" s="42"/>
    </row>
    <row r="23" spans="1:15" ht="15" customHeight="1">
      <c r="A23" s="288" t="s">
        <v>20</v>
      </c>
      <c r="B23" s="99" t="s">
        <v>95</v>
      </c>
      <c r="C23" s="93">
        <v>2900</v>
      </c>
      <c r="D23" s="235">
        <f>(5.48+2.233+0.093)*1.075</f>
        <v>8.39145</v>
      </c>
      <c r="E23" s="291">
        <f>81+5</f>
        <v>86</v>
      </c>
      <c r="F23" s="294">
        <v>25.76</v>
      </c>
      <c r="G23" s="300">
        <f>151.23*84</f>
        <v>12703.32</v>
      </c>
      <c r="H23" s="294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89"/>
      <c r="B24" s="97" t="s">
        <v>96</v>
      </c>
      <c r="C24" s="92">
        <v>840</v>
      </c>
      <c r="D24" s="236">
        <f>(3.49+0.744+0.093)*1.075</f>
        <v>4.6515249999999995</v>
      </c>
      <c r="E24" s="292"/>
      <c r="F24" s="295"/>
      <c r="G24" s="277"/>
      <c r="H24" s="29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90"/>
      <c r="B25" s="95" t="s">
        <v>108</v>
      </c>
      <c r="C25" s="91">
        <v>33</v>
      </c>
      <c r="D25" s="238">
        <f>148.844*1.075</f>
        <v>160.0073</v>
      </c>
      <c r="E25" s="293"/>
      <c r="F25" s="296"/>
      <c r="G25" s="280"/>
      <c r="H25" s="296"/>
      <c r="I25" s="48"/>
      <c r="J25" s="49"/>
      <c r="K25" s="48"/>
      <c r="L25" s="49"/>
      <c r="M25" s="48"/>
      <c r="N25" s="49"/>
      <c r="O25" s="42"/>
    </row>
    <row r="26" spans="1:15" ht="15" customHeight="1">
      <c r="A26" s="288" t="s">
        <v>69</v>
      </c>
      <c r="B26" s="99" t="s">
        <v>95</v>
      </c>
      <c r="C26" s="93">
        <v>2940</v>
      </c>
      <c r="D26" s="235">
        <f>(5.48+2.233+0.093)*1.075</f>
        <v>8.39145</v>
      </c>
      <c r="E26" s="291">
        <v>85</v>
      </c>
      <c r="F26" s="294">
        <v>29.1</v>
      </c>
      <c r="G26" s="300">
        <f>151.23*84</f>
        <v>12703.32</v>
      </c>
      <c r="H26" s="294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289"/>
      <c r="B27" s="95" t="s">
        <v>96</v>
      </c>
      <c r="C27" s="92">
        <v>920</v>
      </c>
      <c r="D27" s="236">
        <f>(3.49+0.744+0.093)*1.075</f>
        <v>4.6515249999999995</v>
      </c>
      <c r="E27" s="292"/>
      <c r="F27" s="295"/>
      <c r="G27" s="277"/>
      <c r="H27" s="295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90"/>
      <c r="B28" s="95" t="s">
        <v>108</v>
      </c>
      <c r="C28" s="91">
        <v>33</v>
      </c>
      <c r="D28" s="238">
        <f>148.844*1.075</f>
        <v>160.0073</v>
      </c>
      <c r="E28" s="293"/>
      <c r="F28" s="296"/>
      <c r="G28" s="280"/>
      <c r="H28" s="296"/>
      <c r="I28" s="48"/>
      <c r="J28" s="49"/>
      <c r="K28" s="48"/>
      <c r="L28" s="49"/>
      <c r="M28" s="48"/>
      <c r="N28" s="49"/>
      <c r="O28" s="42"/>
    </row>
    <row r="29" spans="1:15" ht="15" customHeight="1">
      <c r="A29" s="288" t="s">
        <v>70</v>
      </c>
      <c r="B29" s="99" t="s">
        <v>95</v>
      </c>
      <c r="C29" s="100">
        <v>1580</v>
      </c>
      <c r="D29" s="235">
        <f>(5.48+2.233+0.093)*1.075</f>
        <v>8.39145</v>
      </c>
      <c r="E29" s="291">
        <v>0</v>
      </c>
      <c r="F29" s="294">
        <v>29.1</v>
      </c>
      <c r="G29" s="300">
        <f>151.23*84</f>
        <v>12703.32</v>
      </c>
      <c r="H29" s="294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289"/>
      <c r="B30" s="97" t="s">
        <v>96</v>
      </c>
      <c r="C30" s="98">
        <v>120</v>
      </c>
      <c r="D30" s="236">
        <f>(3.49+0.744+0.093)*1.075</f>
        <v>4.6515249999999995</v>
      </c>
      <c r="E30" s="292"/>
      <c r="F30" s="295"/>
      <c r="G30" s="277"/>
      <c r="H30" s="295"/>
      <c r="I30" s="7"/>
      <c r="J30" s="8"/>
      <c r="K30" s="7"/>
      <c r="L30" s="8"/>
      <c r="M30" s="7"/>
      <c r="N30" s="8"/>
      <c r="O30" s="42"/>
    </row>
    <row r="31" spans="1:15" ht="15" customHeight="1" thickBot="1">
      <c r="A31" s="290"/>
      <c r="B31" s="95" t="s">
        <v>108</v>
      </c>
      <c r="C31" s="96">
        <v>33</v>
      </c>
      <c r="D31" s="238">
        <f>148.844*1.075</f>
        <v>160.0073</v>
      </c>
      <c r="E31" s="293"/>
      <c r="F31" s="296"/>
      <c r="G31" s="280"/>
      <c r="H31" s="296"/>
      <c r="I31" s="21"/>
      <c r="J31" s="22"/>
      <c r="K31" s="21"/>
      <c r="L31" s="22"/>
      <c r="M31" s="21"/>
      <c r="N31" s="22"/>
      <c r="O31" s="42"/>
    </row>
    <row r="32" spans="1:15" ht="15" customHeight="1">
      <c r="A32" s="288" t="s">
        <v>22</v>
      </c>
      <c r="B32" s="99" t="s">
        <v>95</v>
      </c>
      <c r="C32" s="100">
        <v>460</v>
      </c>
      <c r="D32" s="235">
        <f>(5.48+2.233+0.093)*1.075</f>
        <v>8.39145</v>
      </c>
      <c r="E32" s="291">
        <v>0</v>
      </c>
      <c r="F32" s="294">
        <v>29.1</v>
      </c>
      <c r="G32" s="261">
        <v>934</v>
      </c>
      <c r="H32" s="286">
        <v>47.23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289"/>
      <c r="B33" s="97" t="s">
        <v>96</v>
      </c>
      <c r="C33" s="98">
        <v>160</v>
      </c>
      <c r="D33" s="236">
        <f>(3.49+0.744+0.093)*1.075</f>
        <v>4.6515249999999995</v>
      </c>
      <c r="E33" s="292"/>
      <c r="F33" s="295"/>
      <c r="G33" s="262"/>
      <c r="H33" s="287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290"/>
      <c r="B34" s="95" t="s">
        <v>108</v>
      </c>
      <c r="C34" s="96">
        <v>33</v>
      </c>
      <c r="D34" s="238">
        <f>148.844*1.075</f>
        <v>160.0073</v>
      </c>
      <c r="E34" s="293"/>
      <c r="F34" s="296"/>
      <c r="G34" s="246">
        <v>0</v>
      </c>
      <c r="H34" s="247">
        <v>5.81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288" t="s">
        <v>23</v>
      </c>
      <c r="B35" s="99" t="s">
        <v>95</v>
      </c>
      <c r="C35" s="93">
        <v>1720</v>
      </c>
      <c r="D35" s="100">
        <f>6.39+2.233+0.093</f>
        <v>8.716</v>
      </c>
      <c r="E35" s="291">
        <v>1</v>
      </c>
      <c r="F35" s="294">
        <v>29.1</v>
      </c>
      <c r="G35" s="261">
        <v>934</v>
      </c>
      <c r="H35" s="286">
        <v>47.23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289"/>
      <c r="B36" s="97" t="s">
        <v>96</v>
      </c>
      <c r="C36" s="92">
        <v>20</v>
      </c>
      <c r="D36" s="98">
        <f>4.05+0.744+0.093</f>
        <v>4.887</v>
      </c>
      <c r="E36" s="292"/>
      <c r="F36" s="295"/>
      <c r="G36" s="262"/>
      <c r="H36" s="287"/>
      <c r="I36" s="52"/>
      <c r="J36" s="53"/>
      <c r="K36" s="52"/>
      <c r="L36" s="53"/>
      <c r="M36" s="52"/>
      <c r="N36" s="53"/>
      <c r="O36" s="42"/>
    </row>
    <row r="37" spans="1:15" ht="11.25" customHeight="1">
      <c r="A37" s="290"/>
      <c r="B37" s="95" t="s">
        <v>108</v>
      </c>
      <c r="C37" s="91">
        <v>33</v>
      </c>
      <c r="D37" s="96">
        <f>148.844</f>
        <v>148.844</v>
      </c>
      <c r="E37" s="293"/>
      <c r="F37" s="296"/>
      <c r="G37" s="246">
        <v>0</v>
      </c>
      <c r="H37" s="247">
        <v>5.81</v>
      </c>
      <c r="I37" s="52"/>
      <c r="J37" s="53"/>
      <c r="K37" s="52"/>
      <c r="L37" s="53"/>
      <c r="M37" s="52"/>
      <c r="N37" s="53"/>
      <c r="O37" s="42"/>
    </row>
    <row r="38" spans="1:15" ht="14.25" customHeight="1">
      <c r="A38" s="288" t="s">
        <v>24</v>
      </c>
      <c r="B38" s="99" t="s">
        <v>95</v>
      </c>
      <c r="C38" s="93">
        <v>2200</v>
      </c>
      <c r="D38" s="100">
        <f>6.39+2.233+0.093</f>
        <v>8.716</v>
      </c>
      <c r="E38" s="291">
        <v>64</v>
      </c>
      <c r="F38" s="294">
        <v>29.1</v>
      </c>
      <c r="G38" s="261">
        <v>934</v>
      </c>
      <c r="H38" s="286">
        <v>47.23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289"/>
      <c r="B39" s="97" t="s">
        <v>96</v>
      </c>
      <c r="C39" s="92">
        <v>220</v>
      </c>
      <c r="D39" s="98">
        <f>4.05+0.744+0.093</f>
        <v>4.887</v>
      </c>
      <c r="E39" s="292"/>
      <c r="F39" s="295"/>
      <c r="G39" s="262"/>
      <c r="H39" s="287"/>
      <c r="I39" s="52"/>
      <c r="J39" s="53"/>
      <c r="K39" s="52"/>
      <c r="L39" s="53"/>
      <c r="M39" s="52"/>
      <c r="N39" s="53"/>
      <c r="O39" s="42"/>
    </row>
    <row r="40" spans="1:15" ht="12.75" customHeight="1">
      <c r="A40" s="290"/>
      <c r="B40" s="95" t="s">
        <v>108</v>
      </c>
      <c r="C40" s="91">
        <v>33</v>
      </c>
      <c r="D40" s="96">
        <f>148.844</f>
        <v>148.844</v>
      </c>
      <c r="E40" s="293"/>
      <c r="F40" s="296"/>
      <c r="G40" s="246">
        <v>8267</v>
      </c>
      <c r="H40" s="247">
        <v>5.81</v>
      </c>
      <c r="I40" s="52"/>
      <c r="J40" s="53"/>
      <c r="K40" s="52"/>
      <c r="L40" s="53"/>
      <c r="M40" s="52"/>
      <c r="N40" s="53"/>
      <c r="O40" s="42"/>
    </row>
    <row r="41" spans="1:15" ht="15" customHeight="1">
      <c r="A41" s="288" t="s">
        <v>25</v>
      </c>
      <c r="B41" s="99" t="s">
        <v>95</v>
      </c>
      <c r="C41" s="93">
        <v>2200</v>
      </c>
      <c r="D41" s="100">
        <f>6.39+2.233+0.093</f>
        <v>8.716</v>
      </c>
      <c r="E41" s="291">
        <f>75+3</f>
        <v>78</v>
      </c>
      <c r="F41" s="294">
        <v>29.1</v>
      </c>
      <c r="G41" s="261">
        <v>1098.8</v>
      </c>
      <c r="H41" s="286">
        <v>47.23</v>
      </c>
      <c r="I41" s="52"/>
      <c r="J41" s="53"/>
      <c r="K41" s="52"/>
      <c r="L41" s="53"/>
      <c r="M41" s="52"/>
      <c r="N41" s="53"/>
      <c r="O41" s="42"/>
    </row>
    <row r="42" spans="1:15" ht="15" customHeight="1">
      <c r="A42" s="289"/>
      <c r="B42" s="97" t="s">
        <v>96</v>
      </c>
      <c r="C42" s="92">
        <v>260</v>
      </c>
      <c r="D42" s="98">
        <f>4.05+0.744+0.093</f>
        <v>4.887</v>
      </c>
      <c r="E42" s="292"/>
      <c r="F42" s="295"/>
      <c r="G42" s="262"/>
      <c r="H42" s="287"/>
      <c r="I42" s="52"/>
      <c r="J42" s="53"/>
      <c r="K42" s="52"/>
      <c r="L42" s="53"/>
      <c r="M42" s="52"/>
      <c r="N42" s="53"/>
      <c r="O42" s="42"/>
    </row>
    <row r="43" spans="1:15" ht="15" customHeight="1">
      <c r="A43" s="290"/>
      <c r="B43" s="95" t="s">
        <v>108</v>
      </c>
      <c r="C43" s="91">
        <v>33</v>
      </c>
      <c r="D43" s="96">
        <f>148.844</f>
        <v>148.844</v>
      </c>
      <c r="E43" s="293"/>
      <c r="F43" s="296"/>
      <c r="G43" s="246">
        <v>51896.33</v>
      </c>
      <c r="H43" s="247">
        <v>5.81</v>
      </c>
      <c r="I43" s="52"/>
      <c r="J43" s="53"/>
      <c r="K43" s="52"/>
      <c r="L43" s="53"/>
      <c r="M43" s="52"/>
      <c r="N43" s="53"/>
      <c r="O43" s="42"/>
    </row>
    <row r="44" spans="1:15" ht="12" customHeight="1">
      <c r="A44" s="288" t="s">
        <v>26</v>
      </c>
      <c r="B44" s="99" t="s">
        <v>95</v>
      </c>
      <c r="C44" s="93"/>
      <c r="D44" s="100"/>
      <c r="E44" s="291"/>
      <c r="F44" s="294"/>
      <c r="G44" s="300"/>
      <c r="H44" s="294"/>
      <c r="I44" s="72"/>
      <c r="J44" s="44"/>
      <c r="K44" s="72"/>
      <c r="L44" s="44"/>
      <c r="M44" s="72"/>
      <c r="N44" s="44"/>
      <c r="O44" s="42"/>
    </row>
    <row r="45" spans="1:15" ht="12" customHeight="1">
      <c r="A45" s="289"/>
      <c r="B45" s="97" t="s">
        <v>96</v>
      </c>
      <c r="C45" s="92"/>
      <c r="D45" s="98"/>
      <c r="E45" s="292"/>
      <c r="F45" s="295"/>
      <c r="G45" s="277"/>
      <c r="H45" s="295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98"/>
      <c r="B46" s="95" t="s">
        <v>108</v>
      </c>
      <c r="C46" s="102"/>
      <c r="D46" s="96"/>
      <c r="E46" s="299"/>
      <c r="F46" s="297"/>
      <c r="G46" s="278"/>
      <c r="H46" s="297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G41:G42"/>
    <mergeCell ref="H41:H42"/>
    <mergeCell ref="A38:A40"/>
    <mergeCell ref="E38:E40"/>
    <mergeCell ref="F38:F40"/>
    <mergeCell ref="G38:G39"/>
    <mergeCell ref="H38:H39"/>
    <mergeCell ref="E35:E37"/>
    <mergeCell ref="G35:G36"/>
    <mergeCell ref="A26:A28"/>
    <mergeCell ref="E26:E28"/>
    <mergeCell ref="F26:F28"/>
    <mergeCell ref="G26:G28"/>
    <mergeCell ref="G32:G33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H44:H46"/>
    <mergeCell ref="A44:A46"/>
    <mergeCell ref="E44:E46"/>
    <mergeCell ref="F44:F46"/>
    <mergeCell ref="G44:G46"/>
    <mergeCell ref="H32:H33"/>
    <mergeCell ref="A41:A43"/>
    <mergeCell ref="E41:E43"/>
    <mergeCell ref="F41:F43"/>
    <mergeCell ref="A32:A34"/>
    <mergeCell ref="E32:E34"/>
    <mergeCell ref="F32:F34"/>
    <mergeCell ref="H35:H36"/>
    <mergeCell ref="A35:A37"/>
    <mergeCell ref="F35:F37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9">
      <selection activeCell="E44" sqref="E44:E4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6" t="s">
        <v>29</v>
      </c>
      <c r="J1" s="356"/>
      <c r="K1" s="356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6" t="s">
        <v>2</v>
      </c>
      <c r="J2" s="356"/>
      <c r="K2" s="356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6" t="s">
        <v>3</v>
      </c>
      <c r="J3" s="356"/>
      <c r="K3" s="356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7" t="s">
        <v>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9"/>
      <c r="O6" s="56"/>
    </row>
    <row r="7" spans="1:15" ht="13.5" thickBot="1">
      <c r="A7" s="360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2"/>
      <c r="O7" s="56"/>
    </row>
    <row r="8" spans="1:15" ht="14.25" thickBot="1" thickTop="1">
      <c r="A8" s="363" t="s">
        <v>6</v>
      </c>
      <c r="B8" s="365" t="s">
        <v>7</v>
      </c>
      <c r="C8" s="366"/>
      <c r="D8" s="367"/>
      <c r="E8" s="365" t="s">
        <v>11</v>
      </c>
      <c r="F8" s="367"/>
      <c r="G8" s="368" t="s">
        <v>15</v>
      </c>
      <c r="H8" s="369"/>
      <c r="I8" s="369"/>
      <c r="J8" s="369"/>
      <c r="K8" s="369"/>
      <c r="L8" s="369"/>
      <c r="M8" s="369"/>
      <c r="N8" s="344"/>
      <c r="O8" s="56"/>
    </row>
    <row r="9" spans="1:15" ht="13.5" thickTop="1">
      <c r="A9" s="250"/>
      <c r="B9" s="349" t="s">
        <v>8</v>
      </c>
      <c r="C9" s="351"/>
      <c r="D9" s="353" t="s">
        <v>9</v>
      </c>
      <c r="E9" s="370" t="s">
        <v>68</v>
      </c>
      <c r="F9" s="353" t="s">
        <v>9</v>
      </c>
      <c r="G9" s="354" t="s">
        <v>27</v>
      </c>
      <c r="H9" s="355"/>
      <c r="I9" s="354" t="s">
        <v>28</v>
      </c>
      <c r="J9" s="355"/>
      <c r="K9" s="354" t="s">
        <v>13</v>
      </c>
      <c r="L9" s="355"/>
      <c r="M9" s="354" t="s">
        <v>14</v>
      </c>
      <c r="N9" s="355"/>
      <c r="O9" s="56"/>
    </row>
    <row r="10" spans="1:15" ht="13.5" thickBot="1">
      <c r="A10" s="364"/>
      <c r="B10" s="350"/>
      <c r="C10" s="352"/>
      <c r="D10" s="345"/>
      <c r="E10" s="371"/>
      <c r="F10" s="372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49" t="s">
        <v>16</v>
      </c>
      <c r="B11" s="172" t="s">
        <v>95</v>
      </c>
      <c r="C11" s="231">
        <v>1860</v>
      </c>
      <c r="D11" s="232">
        <f>(5.48+3.138+0.093)*1.075</f>
        <v>9.364325</v>
      </c>
      <c r="E11" s="351">
        <v>250</v>
      </c>
      <c r="F11" s="353">
        <v>25.76</v>
      </c>
      <c r="G11" s="348">
        <f>255*84</f>
        <v>21420</v>
      </c>
      <c r="H11" s="344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50"/>
      <c r="B12" s="162" t="s">
        <v>96</v>
      </c>
      <c r="C12" s="103">
        <v>480</v>
      </c>
      <c r="D12" s="233">
        <f>(3.49+0.784+0.093)*1.075</f>
        <v>4.694525</v>
      </c>
      <c r="E12" s="352"/>
      <c r="F12" s="345"/>
      <c r="G12" s="347"/>
      <c r="H12" s="34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50"/>
      <c r="B13" s="174" t="s">
        <v>114</v>
      </c>
      <c r="C13" s="183">
        <v>17.25</v>
      </c>
      <c r="D13" s="234">
        <f>46.514*1.075</f>
        <v>50.00255</v>
      </c>
      <c r="E13" s="352"/>
      <c r="F13" s="345"/>
      <c r="G13" s="347"/>
      <c r="H13" s="345"/>
      <c r="I13" s="65"/>
      <c r="J13" s="66"/>
      <c r="K13" s="65"/>
      <c r="L13" s="66"/>
      <c r="M13" s="65"/>
      <c r="N13" s="66"/>
      <c r="O13" s="56"/>
    </row>
    <row r="14" spans="1:15" ht="15" customHeight="1">
      <c r="A14" s="250" t="s">
        <v>17</v>
      </c>
      <c r="B14" s="65" t="s">
        <v>95</v>
      </c>
      <c r="C14" s="209">
        <v>2190</v>
      </c>
      <c r="D14" s="232">
        <f>(5.48+3.138+0.093)*1.075</f>
        <v>9.364325</v>
      </c>
      <c r="E14" s="251">
        <v>267</v>
      </c>
      <c r="F14" s="344">
        <v>25.76</v>
      </c>
      <c r="G14" s="346">
        <f>255*84</f>
        <v>21420</v>
      </c>
      <c r="H14" s="344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50"/>
      <c r="B15" s="65" t="s">
        <v>96</v>
      </c>
      <c r="C15" s="103">
        <v>480</v>
      </c>
      <c r="D15" s="233">
        <f>(3.49+0.784+0.093)*1.075</f>
        <v>4.694525</v>
      </c>
      <c r="E15" s="343"/>
      <c r="F15" s="345"/>
      <c r="G15" s="347"/>
      <c r="H15" s="34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50"/>
      <c r="B16" s="65" t="s">
        <v>114</v>
      </c>
      <c r="C16" s="103">
        <v>17.25</v>
      </c>
      <c r="D16" s="234">
        <f>46.514*1.075</f>
        <v>50.00255</v>
      </c>
      <c r="E16" s="343"/>
      <c r="F16" s="345"/>
      <c r="G16" s="347"/>
      <c r="H16" s="345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50" t="s">
        <v>18</v>
      </c>
      <c r="B17" s="61" t="s">
        <v>95</v>
      </c>
      <c r="C17" s="210">
        <v>2070</v>
      </c>
      <c r="D17" s="232">
        <f>(5.48+3.138+0.093)*1.075</f>
        <v>9.364325</v>
      </c>
      <c r="E17" s="251">
        <v>186</v>
      </c>
      <c r="F17" s="344">
        <v>25.76</v>
      </c>
      <c r="G17" s="346">
        <f>255*84</f>
        <v>21420</v>
      </c>
      <c r="H17" s="344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50"/>
      <c r="B18" s="65" t="s">
        <v>96</v>
      </c>
      <c r="C18" s="103">
        <v>360</v>
      </c>
      <c r="D18" s="233">
        <f>(3.49+0.784+0.093)*1.075</f>
        <v>4.694525</v>
      </c>
      <c r="E18" s="343"/>
      <c r="F18" s="345"/>
      <c r="G18" s="347"/>
      <c r="H18" s="345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50"/>
      <c r="B19" s="65" t="s">
        <v>114</v>
      </c>
      <c r="C19" s="103">
        <v>17.25</v>
      </c>
      <c r="D19" s="234">
        <f>46.514*1.075</f>
        <v>50.00255</v>
      </c>
      <c r="E19" s="343"/>
      <c r="F19" s="345"/>
      <c r="G19" s="347"/>
      <c r="H19" s="345"/>
      <c r="I19" s="65"/>
      <c r="J19" s="66"/>
      <c r="K19" s="65"/>
      <c r="L19" s="66"/>
      <c r="M19" s="65"/>
      <c r="N19" s="66"/>
      <c r="O19" s="56"/>
    </row>
    <row r="20" spans="1:15" ht="13.5" thickTop="1">
      <c r="A20" s="254" t="s">
        <v>19</v>
      </c>
      <c r="B20" s="61" t="s">
        <v>95</v>
      </c>
      <c r="C20" s="210">
        <v>1470</v>
      </c>
      <c r="D20" s="232">
        <f>(5.48+3.138+0.093)*1.075</f>
        <v>9.364325</v>
      </c>
      <c r="E20" s="251">
        <v>305</v>
      </c>
      <c r="F20" s="344">
        <v>25.76</v>
      </c>
      <c r="G20" s="346">
        <f>255*84</f>
        <v>21420</v>
      </c>
      <c r="H20" s="344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250"/>
      <c r="B21" s="65" t="s">
        <v>96</v>
      </c>
      <c r="C21" s="103">
        <v>270</v>
      </c>
      <c r="D21" s="233">
        <f>(3.49+0.784+0.093)*1.075</f>
        <v>4.694525</v>
      </c>
      <c r="E21" s="343"/>
      <c r="F21" s="345"/>
      <c r="G21" s="347"/>
      <c r="H21" s="345"/>
      <c r="I21" s="65"/>
      <c r="J21" s="66"/>
      <c r="K21" s="65"/>
      <c r="L21" s="66"/>
      <c r="M21" s="65"/>
      <c r="N21" s="66"/>
      <c r="O21" s="56"/>
    </row>
    <row r="22" spans="1:15" ht="13.5" thickBot="1">
      <c r="A22" s="250"/>
      <c r="B22" s="65" t="s">
        <v>114</v>
      </c>
      <c r="C22" s="103">
        <v>17.25</v>
      </c>
      <c r="D22" s="234">
        <f>46.514*1.075</f>
        <v>50.00255</v>
      </c>
      <c r="E22" s="343"/>
      <c r="F22" s="345"/>
      <c r="G22" s="347"/>
      <c r="H22" s="345"/>
      <c r="I22" s="65"/>
      <c r="J22" s="66"/>
      <c r="K22" s="65"/>
      <c r="L22" s="66"/>
      <c r="M22" s="65"/>
      <c r="N22" s="66"/>
      <c r="O22" s="56"/>
    </row>
    <row r="23" spans="1:15" ht="13.5" thickTop="1">
      <c r="A23" s="254" t="s">
        <v>20</v>
      </c>
      <c r="B23" s="61" t="s">
        <v>95</v>
      </c>
      <c r="C23" s="210">
        <v>1470</v>
      </c>
      <c r="D23" s="232">
        <f>(5.48+3.138+0.093)*1.075</f>
        <v>9.364325</v>
      </c>
      <c r="E23" s="251">
        <v>284</v>
      </c>
      <c r="F23" s="344">
        <v>25.76</v>
      </c>
      <c r="G23" s="346">
        <f>255*84</f>
        <v>21420</v>
      </c>
      <c r="H23" s="344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50"/>
      <c r="B24" s="65" t="s">
        <v>96</v>
      </c>
      <c r="C24" s="103">
        <v>210</v>
      </c>
      <c r="D24" s="233">
        <f>(3.49+0.784+0.093)*1.075</f>
        <v>4.694525</v>
      </c>
      <c r="E24" s="343"/>
      <c r="F24" s="345"/>
      <c r="G24" s="347"/>
      <c r="H24" s="345"/>
      <c r="I24" s="65"/>
      <c r="J24" s="66"/>
      <c r="K24" s="65"/>
      <c r="L24" s="66"/>
      <c r="M24" s="65"/>
      <c r="N24" s="66"/>
      <c r="O24" s="56"/>
    </row>
    <row r="25" spans="1:15" ht="13.5" thickBot="1">
      <c r="A25" s="250"/>
      <c r="B25" s="65" t="s">
        <v>114</v>
      </c>
      <c r="C25" s="103">
        <v>17.25</v>
      </c>
      <c r="D25" s="234">
        <f>46.514*1.075</f>
        <v>50.00255</v>
      </c>
      <c r="E25" s="343"/>
      <c r="F25" s="345"/>
      <c r="G25" s="347"/>
      <c r="H25" s="345"/>
      <c r="I25" s="65"/>
      <c r="J25" s="66"/>
      <c r="K25" s="65"/>
      <c r="L25" s="66"/>
      <c r="M25" s="65"/>
      <c r="N25" s="66"/>
      <c r="O25" s="56"/>
    </row>
    <row r="26" spans="1:15" ht="13.5" thickTop="1">
      <c r="A26" s="254" t="s">
        <v>69</v>
      </c>
      <c r="B26" s="61" t="s">
        <v>95</v>
      </c>
      <c r="C26" s="104">
        <v>1110</v>
      </c>
      <c r="D26" s="232">
        <f>(5.48+3.138+0.093)*1.075</f>
        <v>9.364325</v>
      </c>
      <c r="E26" s="251">
        <v>294</v>
      </c>
      <c r="F26" s="344">
        <v>29.1</v>
      </c>
      <c r="G26" s="346">
        <f>255*84</f>
        <v>21420</v>
      </c>
      <c r="H26" s="344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50"/>
      <c r="B27" s="65" t="s">
        <v>96</v>
      </c>
      <c r="C27" s="103">
        <v>180</v>
      </c>
      <c r="D27" s="233">
        <f>(3.49+0.784+0.093)*1.075</f>
        <v>4.694525</v>
      </c>
      <c r="E27" s="343"/>
      <c r="F27" s="345"/>
      <c r="G27" s="347"/>
      <c r="H27" s="345"/>
      <c r="I27" s="65"/>
      <c r="J27" s="66"/>
      <c r="K27" s="65"/>
      <c r="L27" s="66"/>
      <c r="M27" s="65"/>
      <c r="N27" s="66"/>
      <c r="O27" s="56"/>
    </row>
    <row r="28" spans="1:15" ht="13.5" thickBot="1">
      <c r="A28" s="250"/>
      <c r="B28" s="65" t="s">
        <v>114</v>
      </c>
      <c r="C28" s="103">
        <v>17.25</v>
      </c>
      <c r="D28" s="234">
        <f>46.514*1.075</f>
        <v>50.00255</v>
      </c>
      <c r="E28" s="343"/>
      <c r="F28" s="345"/>
      <c r="G28" s="347"/>
      <c r="H28" s="345"/>
      <c r="I28" s="65"/>
      <c r="J28" s="66"/>
      <c r="K28" s="65"/>
      <c r="L28" s="66"/>
      <c r="M28" s="65"/>
      <c r="N28" s="66"/>
      <c r="O28" s="56"/>
    </row>
    <row r="29" spans="1:15" ht="13.5" thickTop="1">
      <c r="A29" s="254" t="s">
        <v>70</v>
      </c>
      <c r="B29" s="61" t="s">
        <v>95</v>
      </c>
      <c r="C29" s="104">
        <v>1290</v>
      </c>
      <c r="D29" s="232">
        <f>(5.48+3.138+0.093)*1.075</f>
        <v>9.364325</v>
      </c>
      <c r="E29" s="251">
        <v>218</v>
      </c>
      <c r="F29" s="344">
        <v>29.1</v>
      </c>
      <c r="G29" s="346">
        <f>255*84</f>
        <v>21420</v>
      </c>
      <c r="H29" s="344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50"/>
      <c r="B30" s="65" t="s">
        <v>96</v>
      </c>
      <c r="C30" s="103">
        <v>210</v>
      </c>
      <c r="D30" s="233">
        <f>(3.49+0.784+0.093)*1.075</f>
        <v>4.694525</v>
      </c>
      <c r="E30" s="343"/>
      <c r="F30" s="345"/>
      <c r="G30" s="347"/>
      <c r="H30" s="345"/>
      <c r="I30" s="65"/>
      <c r="J30" s="66"/>
      <c r="K30" s="65"/>
      <c r="L30" s="66"/>
      <c r="M30" s="65"/>
      <c r="N30" s="66"/>
      <c r="O30" s="56"/>
    </row>
    <row r="31" spans="1:15" ht="13.5" thickBot="1">
      <c r="A31" s="250"/>
      <c r="B31" s="65" t="s">
        <v>114</v>
      </c>
      <c r="C31" s="103">
        <v>17.25</v>
      </c>
      <c r="D31" s="234">
        <f>46.514*1.075</f>
        <v>50.00255</v>
      </c>
      <c r="E31" s="343"/>
      <c r="F31" s="345"/>
      <c r="G31" s="347"/>
      <c r="H31" s="345"/>
      <c r="I31" s="65"/>
      <c r="J31" s="66"/>
      <c r="K31" s="65"/>
      <c r="L31" s="66"/>
      <c r="M31" s="65"/>
      <c r="N31" s="66"/>
      <c r="O31" s="56"/>
    </row>
    <row r="32" spans="1:15" ht="13.5" thickTop="1">
      <c r="A32" s="254" t="s">
        <v>22</v>
      </c>
      <c r="B32" s="61" t="s">
        <v>95</v>
      </c>
      <c r="C32" s="104">
        <v>870</v>
      </c>
      <c r="D32" s="232">
        <f>(5.48+3.138+0.093)*1.075</f>
        <v>9.364325</v>
      </c>
      <c r="E32" s="251">
        <v>276</v>
      </c>
      <c r="F32" s="344">
        <v>29.1</v>
      </c>
      <c r="G32" s="261">
        <v>1098.8</v>
      </c>
      <c r="H32" s="286">
        <v>47.23</v>
      </c>
      <c r="I32" s="67"/>
      <c r="J32" s="68"/>
      <c r="K32" s="67"/>
      <c r="L32" s="68"/>
      <c r="M32" s="67"/>
      <c r="N32" s="68"/>
      <c r="O32" s="56"/>
    </row>
    <row r="33" spans="1:15" ht="12.75">
      <c r="A33" s="250"/>
      <c r="B33" s="65" t="s">
        <v>96</v>
      </c>
      <c r="C33" s="103">
        <v>180</v>
      </c>
      <c r="D33" s="233">
        <f>(3.49+0.784+0.093)*1.075</f>
        <v>4.694525</v>
      </c>
      <c r="E33" s="343"/>
      <c r="F33" s="345"/>
      <c r="G33" s="262"/>
      <c r="H33" s="287"/>
      <c r="I33" s="67"/>
      <c r="J33" s="68"/>
      <c r="K33" s="67"/>
      <c r="L33" s="68"/>
      <c r="M33" s="67"/>
      <c r="N33" s="68"/>
      <c r="O33" s="56"/>
    </row>
    <row r="34" spans="1:15" ht="13.5" thickBot="1">
      <c r="A34" s="250"/>
      <c r="B34" s="65" t="s">
        <v>114</v>
      </c>
      <c r="C34" s="103">
        <v>17.25</v>
      </c>
      <c r="D34" s="234">
        <f>46.514*1.075</f>
        <v>50.00255</v>
      </c>
      <c r="E34" s="343"/>
      <c r="F34" s="345"/>
      <c r="G34" s="246">
        <v>0</v>
      </c>
      <c r="H34" s="247">
        <v>5.81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254" t="s">
        <v>23</v>
      </c>
      <c r="B35" s="61" t="s">
        <v>95</v>
      </c>
      <c r="C35" s="104">
        <v>1560</v>
      </c>
      <c r="D35" s="221">
        <f>6.39+3.138+0.093</f>
        <v>9.620999999999999</v>
      </c>
      <c r="E35" s="251">
        <v>274</v>
      </c>
      <c r="F35" s="344">
        <v>29.1</v>
      </c>
      <c r="G35" s="261">
        <v>1098.8</v>
      </c>
      <c r="H35" s="286">
        <v>47.23</v>
      </c>
      <c r="I35" s="70"/>
      <c r="J35" s="71"/>
      <c r="K35" s="70"/>
      <c r="L35" s="71"/>
      <c r="M35" s="70"/>
      <c r="N35" s="71"/>
      <c r="O35" s="56"/>
    </row>
    <row r="36" spans="1:15" ht="12.75">
      <c r="A36" s="250"/>
      <c r="B36" s="65" t="s">
        <v>96</v>
      </c>
      <c r="C36" s="103">
        <v>210</v>
      </c>
      <c r="D36" s="222">
        <f>4.05+0.784+0.093</f>
        <v>4.927</v>
      </c>
      <c r="E36" s="343"/>
      <c r="F36" s="345"/>
      <c r="G36" s="262"/>
      <c r="H36" s="287"/>
      <c r="I36" s="70"/>
      <c r="J36" s="71"/>
      <c r="K36" s="70"/>
      <c r="L36" s="71"/>
      <c r="M36" s="70"/>
      <c r="N36" s="71"/>
      <c r="O36" s="56"/>
    </row>
    <row r="37" spans="1:15" ht="13.5" thickBot="1">
      <c r="A37" s="250"/>
      <c r="B37" s="65" t="s">
        <v>114</v>
      </c>
      <c r="C37" s="103">
        <v>17.25</v>
      </c>
      <c r="D37" s="222">
        <v>46.514</v>
      </c>
      <c r="E37" s="343"/>
      <c r="F37" s="345"/>
      <c r="G37" s="246">
        <v>0</v>
      </c>
      <c r="H37" s="247">
        <v>5.81</v>
      </c>
      <c r="I37" s="70"/>
      <c r="J37" s="71"/>
      <c r="K37" s="70"/>
      <c r="L37" s="71"/>
      <c r="M37" s="70"/>
      <c r="N37" s="71"/>
      <c r="O37" s="56"/>
    </row>
    <row r="38" spans="1:15" ht="13.5" thickTop="1">
      <c r="A38" s="254" t="s">
        <v>24</v>
      </c>
      <c r="B38" s="61" t="s">
        <v>95</v>
      </c>
      <c r="C38" s="104">
        <v>2850</v>
      </c>
      <c r="D38" s="221">
        <f>6.39+3.138+0.093</f>
        <v>9.620999999999999</v>
      </c>
      <c r="E38" s="251">
        <v>282</v>
      </c>
      <c r="F38" s="344">
        <v>29.1</v>
      </c>
      <c r="G38" s="261">
        <v>1098.8</v>
      </c>
      <c r="H38" s="286">
        <v>47.23</v>
      </c>
      <c r="I38" s="70"/>
      <c r="J38" s="71"/>
      <c r="K38" s="70"/>
      <c r="L38" s="71"/>
      <c r="M38" s="70"/>
      <c r="N38" s="71"/>
      <c r="O38" s="56"/>
    </row>
    <row r="39" spans="1:15" ht="12.75">
      <c r="A39" s="250"/>
      <c r="B39" s="65" t="s">
        <v>96</v>
      </c>
      <c r="C39" s="103">
        <v>720</v>
      </c>
      <c r="D39" s="222">
        <f>4.05+0.784+0.093</f>
        <v>4.927</v>
      </c>
      <c r="E39" s="343"/>
      <c r="F39" s="345"/>
      <c r="G39" s="262"/>
      <c r="H39" s="287"/>
      <c r="I39" s="70"/>
      <c r="J39" s="71"/>
      <c r="K39" s="70"/>
      <c r="L39" s="71"/>
      <c r="M39" s="70"/>
      <c r="N39" s="71"/>
      <c r="O39" s="56"/>
    </row>
    <row r="40" spans="1:15" ht="13.5" thickBot="1">
      <c r="A40" s="250"/>
      <c r="B40" s="65" t="s">
        <v>114</v>
      </c>
      <c r="C40" s="103">
        <v>17.25</v>
      </c>
      <c r="D40" s="222">
        <v>46.514</v>
      </c>
      <c r="E40" s="343"/>
      <c r="F40" s="345"/>
      <c r="G40" s="246">
        <v>6601</v>
      </c>
      <c r="H40" s="247">
        <v>5.81</v>
      </c>
      <c r="I40" s="70"/>
      <c r="J40" s="71"/>
      <c r="K40" s="70"/>
      <c r="L40" s="71"/>
      <c r="M40" s="70"/>
      <c r="N40" s="71"/>
      <c r="O40" s="56"/>
    </row>
    <row r="41" spans="1:15" ht="13.5" thickTop="1">
      <c r="A41" s="254" t="s">
        <v>25</v>
      </c>
      <c r="B41" s="61" t="s">
        <v>95</v>
      </c>
      <c r="C41" s="104">
        <v>3120</v>
      </c>
      <c r="D41" s="221">
        <f>6.39+3.138+0.093</f>
        <v>9.620999999999999</v>
      </c>
      <c r="E41" s="251">
        <v>226</v>
      </c>
      <c r="F41" s="344">
        <v>29.1</v>
      </c>
      <c r="G41" s="261">
        <v>934</v>
      </c>
      <c r="H41" s="286">
        <v>47.23</v>
      </c>
      <c r="I41" s="70"/>
      <c r="J41" s="71"/>
      <c r="K41" s="70"/>
      <c r="L41" s="71"/>
      <c r="M41" s="70"/>
      <c r="N41" s="71"/>
      <c r="O41" s="56"/>
    </row>
    <row r="42" spans="1:15" ht="12.75">
      <c r="A42" s="250"/>
      <c r="B42" s="65" t="s">
        <v>96</v>
      </c>
      <c r="C42" s="103">
        <v>840</v>
      </c>
      <c r="D42" s="222">
        <f>4.05+0.784+0.093</f>
        <v>4.927</v>
      </c>
      <c r="E42" s="343"/>
      <c r="F42" s="345"/>
      <c r="G42" s="262"/>
      <c r="H42" s="287"/>
      <c r="I42" s="70"/>
      <c r="J42" s="71"/>
      <c r="K42" s="70"/>
      <c r="L42" s="71"/>
      <c r="M42" s="70"/>
      <c r="N42" s="71"/>
      <c r="O42" s="56"/>
    </row>
    <row r="43" spans="1:15" ht="13.5" thickBot="1">
      <c r="A43" s="250"/>
      <c r="B43" s="65" t="s">
        <v>114</v>
      </c>
      <c r="C43" s="103">
        <v>17.25</v>
      </c>
      <c r="D43" s="222">
        <v>46.514</v>
      </c>
      <c r="E43" s="343"/>
      <c r="F43" s="345"/>
      <c r="G43" s="246">
        <v>8267</v>
      </c>
      <c r="H43" s="247">
        <v>5.81</v>
      </c>
      <c r="I43" s="69"/>
      <c r="J43" s="60"/>
      <c r="K43" s="69"/>
      <c r="L43" s="60"/>
      <c r="M43" s="69"/>
      <c r="N43" s="60"/>
      <c r="O43" s="56"/>
    </row>
    <row r="44" spans="1:15" ht="13.5" thickTop="1">
      <c r="A44" s="264" t="s">
        <v>26</v>
      </c>
      <c r="B44" s="61" t="s">
        <v>95</v>
      </c>
      <c r="C44" s="180"/>
      <c r="D44" s="221"/>
      <c r="E44" s="252"/>
      <c r="F44" s="263"/>
      <c r="G44" s="253"/>
      <c r="H44" s="263"/>
      <c r="I44" s="179"/>
      <c r="J44" s="179"/>
      <c r="K44" s="179"/>
      <c r="L44" s="179"/>
      <c r="M44" s="179"/>
      <c r="N44" s="179"/>
      <c r="O44" s="56"/>
    </row>
    <row r="45" spans="1:15" ht="12.75">
      <c r="A45" s="264"/>
      <c r="B45" s="65" t="s">
        <v>96</v>
      </c>
      <c r="C45" s="103"/>
      <c r="D45" s="222"/>
      <c r="E45" s="252"/>
      <c r="F45" s="263"/>
      <c r="G45" s="253"/>
      <c r="H45" s="263"/>
      <c r="I45" s="179"/>
      <c r="J45" s="179"/>
      <c r="K45" s="179"/>
      <c r="L45" s="179"/>
      <c r="M45" s="179"/>
      <c r="N45" s="179"/>
      <c r="O45" s="56"/>
    </row>
    <row r="46" spans="1:15" ht="13.5" thickBot="1">
      <c r="A46" s="264"/>
      <c r="B46" s="65" t="s">
        <v>114</v>
      </c>
      <c r="C46" s="183"/>
      <c r="D46" s="222"/>
      <c r="E46" s="252"/>
      <c r="F46" s="263"/>
      <c r="G46" s="253"/>
      <c r="H46" s="263"/>
      <c r="I46" s="179"/>
      <c r="J46" s="179"/>
      <c r="K46" s="179"/>
      <c r="L46" s="179"/>
      <c r="M46" s="179"/>
      <c r="N46" s="179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7" t="s">
        <v>32</v>
      </c>
      <c r="B48" s="327"/>
      <c r="C48" s="327"/>
      <c r="D48" s="328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7" t="s">
        <v>35</v>
      </c>
      <c r="C50" s="327"/>
      <c r="D50" s="327"/>
      <c r="E50" s="328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7" t="s">
        <v>34</v>
      </c>
      <c r="C51" s="327"/>
      <c r="D51" s="32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29:G31"/>
    <mergeCell ref="F32:F34"/>
    <mergeCell ref="G32:G33"/>
    <mergeCell ref="G38:G39"/>
    <mergeCell ref="H29:H31"/>
    <mergeCell ref="A29:A31"/>
    <mergeCell ref="A35:A37"/>
    <mergeCell ref="F35:F37"/>
    <mergeCell ref="E35:E37"/>
    <mergeCell ref="G35:G36"/>
    <mergeCell ref="E29:E31"/>
    <mergeCell ref="F29:F31"/>
    <mergeCell ref="A32:A34"/>
    <mergeCell ref="E32:E34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G41:G42"/>
    <mergeCell ref="H17:H19"/>
    <mergeCell ref="A17:A19"/>
    <mergeCell ref="E17:E19"/>
    <mergeCell ref="F17:F19"/>
    <mergeCell ref="G17:G19"/>
    <mergeCell ref="A20:A22"/>
    <mergeCell ref="E20:E22"/>
    <mergeCell ref="F20:F22"/>
    <mergeCell ref="G20:G22"/>
    <mergeCell ref="H41:H42"/>
    <mergeCell ref="H35:H36"/>
    <mergeCell ref="H32:H33"/>
    <mergeCell ref="A38:A40"/>
    <mergeCell ref="E38:E40"/>
    <mergeCell ref="F38:F40"/>
    <mergeCell ref="H38:H39"/>
    <mergeCell ref="A41:A43"/>
    <mergeCell ref="E41:E43"/>
    <mergeCell ref="F41:F43"/>
    <mergeCell ref="H44:H46"/>
    <mergeCell ref="A44:A46"/>
    <mergeCell ref="E44:E46"/>
    <mergeCell ref="F44:F46"/>
    <mergeCell ref="G44:G46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6">
      <selection activeCell="D49" sqref="D49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6" t="s">
        <v>29</v>
      </c>
      <c r="J1" s="356"/>
      <c r="K1" s="356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6" t="s">
        <v>2</v>
      </c>
      <c r="J2" s="356"/>
      <c r="K2" s="356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6" t="s">
        <v>3</v>
      </c>
      <c r="J3" s="356"/>
      <c r="K3" s="356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7" t="s">
        <v>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9"/>
      <c r="O6" s="56"/>
    </row>
    <row r="7" spans="1:15" ht="12.75" customHeight="1" thickBot="1">
      <c r="A7" s="360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2"/>
      <c r="O7" s="56"/>
    </row>
    <row r="8" spans="1:15" ht="15" customHeight="1" thickBot="1" thickTop="1">
      <c r="A8" s="363" t="s">
        <v>6</v>
      </c>
      <c r="B8" s="365" t="s">
        <v>7</v>
      </c>
      <c r="C8" s="366"/>
      <c r="D8" s="367"/>
      <c r="E8" s="365" t="s">
        <v>11</v>
      </c>
      <c r="F8" s="367"/>
      <c r="G8" s="368" t="s">
        <v>15</v>
      </c>
      <c r="H8" s="369"/>
      <c r="I8" s="369"/>
      <c r="J8" s="369"/>
      <c r="K8" s="369"/>
      <c r="L8" s="369"/>
      <c r="M8" s="369"/>
      <c r="N8" s="344"/>
      <c r="O8" s="56"/>
    </row>
    <row r="9" spans="1:15" ht="12.75" customHeight="1" thickTop="1">
      <c r="A9" s="250"/>
      <c r="B9" s="349" t="s">
        <v>8</v>
      </c>
      <c r="C9" s="351"/>
      <c r="D9" s="353" t="s">
        <v>9</v>
      </c>
      <c r="E9" s="370" t="s">
        <v>68</v>
      </c>
      <c r="F9" s="353" t="s">
        <v>9</v>
      </c>
      <c r="G9" s="354" t="s">
        <v>27</v>
      </c>
      <c r="H9" s="355"/>
      <c r="I9" s="354" t="s">
        <v>28</v>
      </c>
      <c r="J9" s="355"/>
      <c r="K9" s="354" t="s">
        <v>13</v>
      </c>
      <c r="L9" s="355"/>
      <c r="M9" s="354" t="s">
        <v>14</v>
      </c>
      <c r="N9" s="355"/>
      <c r="O9" s="56"/>
    </row>
    <row r="10" spans="1:15" ht="12.75" customHeight="1" thickBot="1">
      <c r="A10" s="364"/>
      <c r="B10" s="391"/>
      <c r="C10" s="392"/>
      <c r="D10" s="372"/>
      <c r="E10" s="371"/>
      <c r="F10" s="372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93" t="s">
        <v>16</v>
      </c>
      <c r="B11" s="61" t="s">
        <v>95</v>
      </c>
      <c r="C11" s="240">
        <v>2680</v>
      </c>
      <c r="D11" s="221">
        <f>(5.48+3.138+0.093)*1.075</f>
        <v>9.364325</v>
      </c>
      <c r="E11" s="396">
        <f>265+86</f>
        <v>351</v>
      </c>
      <c r="F11" s="388">
        <v>25.76</v>
      </c>
      <c r="G11" s="390">
        <f>218*84</f>
        <v>18312</v>
      </c>
      <c r="H11" s="344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9"/>
      <c r="B12" s="65" t="s">
        <v>96</v>
      </c>
      <c r="C12" s="212">
        <v>1340</v>
      </c>
      <c r="D12" s="222">
        <f>(3.49+0.784+0.093)*1.075</f>
        <v>4.694525</v>
      </c>
      <c r="E12" s="387"/>
      <c r="F12" s="287"/>
      <c r="G12" s="262"/>
      <c r="H12" s="34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9"/>
      <c r="B13" s="65" t="s">
        <v>114</v>
      </c>
      <c r="C13" s="211">
        <v>17.25</v>
      </c>
      <c r="D13" s="222">
        <f>46.514*1.075</f>
        <v>50.00255</v>
      </c>
      <c r="E13" s="387"/>
      <c r="F13" s="287"/>
      <c r="G13" s="262"/>
      <c r="H13" s="345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9" t="s">
        <v>17</v>
      </c>
      <c r="B14" s="61" t="s">
        <v>95</v>
      </c>
      <c r="C14" s="239">
        <v>2640</v>
      </c>
      <c r="D14" s="221">
        <f>(5.48+3.138+0.093)*1.075</f>
        <v>9.364325</v>
      </c>
      <c r="E14" s="386">
        <f>169+13</f>
        <v>182</v>
      </c>
      <c r="F14" s="286">
        <v>25.76</v>
      </c>
      <c r="G14" s="261">
        <f>218*84</f>
        <v>18312</v>
      </c>
      <c r="H14" s="344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9"/>
      <c r="B15" s="65" t="s">
        <v>96</v>
      </c>
      <c r="C15" s="212">
        <v>1320</v>
      </c>
      <c r="D15" s="222">
        <f>(3.49+0.784+0.093)*1.075</f>
        <v>4.694525</v>
      </c>
      <c r="E15" s="387"/>
      <c r="F15" s="287"/>
      <c r="G15" s="262"/>
      <c r="H15" s="34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9"/>
      <c r="B16" s="65" t="s">
        <v>114</v>
      </c>
      <c r="C16" s="211">
        <v>17.25</v>
      </c>
      <c r="D16" s="222">
        <f>46.514*1.075</f>
        <v>50.00255</v>
      </c>
      <c r="E16" s="387"/>
      <c r="F16" s="287"/>
      <c r="G16" s="262"/>
      <c r="H16" s="345"/>
      <c r="I16" s="65"/>
      <c r="J16" s="66"/>
      <c r="K16" s="65"/>
      <c r="L16" s="66"/>
      <c r="M16" s="65"/>
      <c r="N16" s="66"/>
      <c r="O16" s="56"/>
    </row>
    <row r="17" spans="1:15" ht="13.5" thickTop="1">
      <c r="A17" s="389" t="s">
        <v>18</v>
      </c>
      <c r="B17" s="61" t="s">
        <v>95</v>
      </c>
      <c r="C17" s="239">
        <v>3620</v>
      </c>
      <c r="D17" s="221">
        <f>(5.48+3.138+0.093)*1.075</f>
        <v>9.364325</v>
      </c>
      <c r="E17" s="386">
        <f>18+79</f>
        <v>97</v>
      </c>
      <c r="F17" s="286">
        <v>25.76</v>
      </c>
      <c r="G17" s="261">
        <f>218*84</f>
        <v>18312</v>
      </c>
      <c r="H17" s="344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89"/>
      <c r="B18" s="65" t="s">
        <v>96</v>
      </c>
      <c r="C18" s="212">
        <v>1810</v>
      </c>
      <c r="D18" s="222">
        <f>(3.49+0.784+0.093)*1.075</f>
        <v>4.694525</v>
      </c>
      <c r="E18" s="387"/>
      <c r="F18" s="287"/>
      <c r="G18" s="262"/>
      <c r="H18" s="345"/>
      <c r="I18" s="65"/>
      <c r="J18" s="66"/>
      <c r="K18" s="65"/>
      <c r="L18" s="66"/>
      <c r="M18" s="65"/>
      <c r="N18" s="66"/>
      <c r="O18" s="56"/>
    </row>
    <row r="19" spans="1:15" ht="13.5" thickBot="1">
      <c r="A19" s="389"/>
      <c r="B19" s="65" t="s">
        <v>114</v>
      </c>
      <c r="C19" s="211">
        <v>17.25</v>
      </c>
      <c r="D19" s="222">
        <f>46.514*1.075</f>
        <v>50.00255</v>
      </c>
      <c r="E19" s="387"/>
      <c r="F19" s="287"/>
      <c r="G19" s="262"/>
      <c r="H19" s="345"/>
      <c r="I19" s="65"/>
      <c r="J19" s="66"/>
      <c r="K19" s="65"/>
      <c r="L19" s="66"/>
      <c r="M19" s="65"/>
      <c r="N19" s="66"/>
      <c r="O19" s="56"/>
    </row>
    <row r="20" spans="1:15" ht="13.5" thickTop="1">
      <c r="A20" s="389" t="s">
        <v>19</v>
      </c>
      <c r="B20" s="61" t="s">
        <v>95</v>
      </c>
      <c r="C20" s="239">
        <v>2960</v>
      </c>
      <c r="D20" s="221">
        <f>(5.48+3.138+0.093)*1.075</f>
        <v>9.364325</v>
      </c>
      <c r="E20" s="386">
        <f>64+15</f>
        <v>79</v>
      </c>
      <c r="F20" s="286">
        <v>25.76</v>
      </c>
      <c r="G20" s="261">
        <f>218*84</f>
        <v>18312</v>
      </c>
      <c r="H20" s="344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89"/>
      <c r="B21" s="65" t="s">
        <v>96</v>
      </c>
      <c r="C21" s="212">
        <v>1480</v>
      </c>
      <c r="D21" s="222">
        <f>(3.49+0.784+0.093)*1.075</f>
        <v>4.694525</v>
      </c>
      <c r="E21" s="387"/>
      <c r="F21" s="287"/>
      <c r="G21" s="262"/>
      <c r="H21" s="345"/>
      <c r="I21" s="65"/>
      <c r="J21" s="66"/>
      <c r="K21" s="65"/>
      <c r="L21" s="66"/>
      <c r="M21" s="65"/>
      <c r="N21" s="66"/>
      <c r="O21" s="56"/>
    </row>
    <row r="22" spans="1:15" ht="13.5" thickBot="1">
      <c r="A22" s="389"/>
      <c r="B22" s="65" t="s">
        <v>114</v>
      </c>
      <c r="C22" s="211">
        <v>17.25</v>
      </c>
      <c r="D22" s="222">
        <f>46.514*1.075</f>
        <v>50.00255</v>
      </c>
      <c r="E22" s="387"/>
      <c r="F22" s="287"/>
      <c r="G22" s="262"/>
      <c r="H22" s="345"/>
      <c r="I22" s="65"/>
      <c r="J22" s="66"/>
      <c r="K22" s="65"/>
      <c r="L22" s="66"/>
      <c r="M22" s="65"/>
      <c r="N22" s="66"/>
      <c r="O22" s="56"/>
    </row>
    <row r="23" spans="1:15" ht="13.5" thickTop="1">
      <c r="A23" s="254" t="s">
        <v>20</v>
      </c>
      <c r="B23" s="61" t="s">
        <v>95</v>
      </c>
      <c r="C23" s="239">
        <v>4000</v>
      </c>
      <c r="D23" s="221">
        <f>(5.48+3.138+0.093)*1.075</f>
        <v>9.364325</v>
      </c>
      <c r="E23" s="386">
        <f>74+27</f>
        <v>101</v>
      </c>
      <c r="F23" s="286">
        <v>25.76</v>
      </c>
      <c r="G23" s="261">
        <f>218*84</f>
        <v>18312</v>
      </c>
      <c r="H23" s="344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50"/>
      <c r="B24" s="65" t="s">
        <v>96</v>
      </c>
      <c r="C24" s="212">
        <v>2000</v>
      </c>
      <c r="D24" s="222">
        <f>(3.49+0.784+0.093)*1.075</f>
        <v>4.694525</v>
      </c>
      <c r="E24" s="387"/>
      <c r="F24" s="287"/>
      <c r="G24" s="262"/>
      <c r="H24" s="345"/>
      <c r="I24" s="65"/>
      <c r="J24" s="66"/>
      <c r="K24" s="65"/>
      <c r="L24" s="66"/>
      <c r="M24" s="65"/>
      <c r="N24" s="66"/>
      <c r="O24" s="56"/>
    </row>
    <row r="25" spans="1:15" ht="13.5" thickBot="1">
      <c r="A25" s="250"/>
      <c r="B25" s="65" t="s">
        <v>114</v>
      </c>
      <c r="C25" s="103">
        <v>17.25</v>
      </c>
      <c r="D25" s="222">
        <f>46.514*1.075</f>
        <v>50.00255</v>
      </c>
      <c r="E25" s="387"/>
      <c r="F25" s="287"/>
      <c r="G25" s="262"/>
      <c r="H25" s="345"/>
      <c r="I25" s="65"/>
      <c r="J25" s="66"/>
      <c r="K25" s="65"/>
      <c r="L25" s="66"/>
      <c r="M25" s="65"/>
      <c r="N25" s="66"/>
      <c r="O25" s="56"/>
    </row>
    <row r="26" spans="1:15" ht="13.5" thickTop="1">
      <c r="A26" s="254" t="s">
        <v>69</v>
      </c>
      <c r="B26" s="61" t="s">
        <v>95</v>
      </c>
      <c r="C26" s="104">
        <v>0</v>
      </c>
      <c r="D26" s="221">
        <f>(5.48+3.138+0.093)*1.075</f>
        <v>9.364325</v>
      </c>
      <c r="E26" s="386">
        <f>75+9</f>
        <v>84</v>
      </c>
      <c r="F26" s="286">
        <v>29.1</v>
      </c>
      <c r="G26" s="261">
        <f>218*84</f>
        <v>18312</v>
      </c>
      <c r="H26" s="344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50"/>
      <c r="B27" s="65" t="s">
        <v>96</v>
      </c>
      <c r="C27" s="103">
        <v>0</v>
      </c>
      <c r="D27" s="222">
        <f>(3.49+0.784+0.093)*1.075</f>
        <v>4.694525</v>
      </c>
      <c r="E27" s="387"/>
      <c r="F27" s="287"/>
      <c r="G27" s="262"/>
      <c r="H27" s="345"/>
      <c r="I27" s="65"/>
      <c r="J27" s="66"/>
      <c r="K27" s="65"/>
      <c r="L27" s="66"/>
      <c r="M27" s="65"/>
      <c r="N27" s="66"/>
      <c r="O27" s="56"/>
    </row>
    <row r="28" spans="1:15" ht="13.5" thickBot="1">
      <c r="A28" s="250"/>
      <c r="B28" s="65" t="s">
        <v>114</v>
      </c>
      <c r="C28" s="103">
        <v>17.25</v>
      </c>
      <c r="D28" s="222">
        <f>46.514*1.075</f>
        <v>50.00255</v>
      </c>
      <c r="E28" s="387"/>
      <c r="F28" s="287"/>
      <c r="G28" s="262"/>
      <c r="H28" s="345"/>
      <c r="I28" s="65"/>
      <c r="J28" s="66"/>
      <c r="K28" s="65"/>
      <c r="L28" s="66"/>
      <c r="M28" s="65"/>
      <c r="N28" s="66"/>
      <c r="O28" s="56"/>
    </row>
    <row r="29" spans="1:15" ht="13.5" thickTop="1">
      <c r="A29" s="254" t="s">
        <v>70</v>
      </c>
      <c r="B29" s="61" t="s">
        <v>95</v>
      </c>
      <c r="C29" s="104">
        <v>0</v>
      </c>
      <c r="D29" s="221">
        <f>(5.48+3.138+0.093)*1.075</f>
        <v>9.364325</v>
      </c>
      <c r="E29" s="386">
        <v>71</v>
      </c>
      <c r="F29" s="286">
        <v>29.1</v>
      </c>
      <c r="G29" s="261">
        <f>218*84</f>
        <v>18312</v>
      </c>
      <c r="H29" s="344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50"/>
      <c r="B30" s="65" t="s">
        <v>96</v>
      </c>
      <c r="C30" s="103">
        <v>0</v>
      </c>
      <c r="D30" s="222">
        <f>(3.49+0.784+0.093)*1.075</f>
        <v>4.694525</v>
      </c>
      <c r="E30" s="387"/>
      <c r="F30" s="287"/>
      <c r="G30" s="262"/>
      <c r="H30" s="345"/>
      <c r="I30" s="65"/>
      <c r="J30" s="66"/>
      <c r="K30" s="65"/>
      <c r="L30" s="66"/>
      <c r="M30" s="65"/>
      <c r="N30" s="66"/>
      <c r="O30" s="56"/>
    </row>
    <row r="31" spans="1:15" ht="13.5" thickBot="1">
      <c r="A31" s="250"/>
      <c r="B31" s="65" t="s">
        <v>114</v>
      </c>
      <c r="C31" s="103">
        <v>17.25</v>
      </c>
      <c r="D31" s="222">
        <f>46.514*1.075</f>
        <v>50.00255</v>
      </c>
      <c r="E31" s="387"/>
      <c r="F31" s="287"/>
      <c r="G31" s="262"/>
      <c r="H31" s="345"/>
      <c r="I31" s="65"/>
      <c r="J31" s="66"/>
      <c r="K31" s="65"/>
      <c r="L31" s="66"/>
      <c r="M31" s="65"/>
      <c r="N31" s="66"/>
      <c r="O31" s="56"/>
    </row>
    <row r="32" spans="1:15" ht="13.5" thickTop="1">
      <c r="A32" s="254" t="s">
        <v>22</v>
      </c>
      <c r="B32" s="61" t="s">
        <v>95</v>
      </c>
      <c r="C32" s="104">
        <v>9160</v>
      </c>
      <c r="D32" s="221">
        <f>(5.48+3.138+0.093)*1.075</f>
        <v>9.364325</v>
      </c>
      <c r="E32" s="251">
        <f>69+13</f>
        <v>82</v>
      </c>
      <c r="F32" s="344">
        <v>29.1</v>
      </c>
      <c r="G32" s="243">
        <v>1057.14</v>
      </c>
      <c r="H32" s="244">
        <v>47.23</v>
      </c>
      <c r="I32" s="69"/>
      <c r="J32" s="60"/>
      <c r="K32" s="69"/>
      <c r="L32" s="60"/>
      <c r="M32" s="69"/>
      <c r="N32" s="60"/>
      <c r="O32" s="56"/>
    </row>
    <row r="33" spans="1:15" ht="12.75">
      <c r="A33" s="250"/>
      <c r="B33" s="65" t="s">
        <v>96</v>
      </c>
      <c r="C33" s="103">
        <v>4580</v>
      </c>
      <c r="D33" s="222">
        <f>(3.49+0.784+0.093)*1.075</f>
        <v>4.694525</v>
      </c>
      <c r="E33" s="343"/>
      <c r="F33" s="345"/>
      <c r="G33" s="262">
        <v>0</v>
      </c>
      <c r="H33" s="287">
        <v>5.81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250"/>
      <c r="B34" s="65" t="s">
        <v>114</v>
      </c>
      <c r="C34" s="103">
        <v>17.25</v>
      </c>
      <c r="D34" s="222">
        <f>46.514*1.075</f>
        <v>50.00255</v>
      </c>
      <c r="E34" s="343"/>
      <c r="F34" s="345"/>
      <c r="G34" s="398"/>
      <c r="H34" s="397"/>
      <c r="I34" s="65"/>
      <c r="J34" s="66"/>
      <c r="K34" s="65"/>
      <c r="L34" s="66"/>
      <c r="M34" s="65"/>
      <c r="N34" s="66"/>
      <c r="O34" s="56"/>
    </row>
    <row r="35" spans="1:15" ht="13.5" thickTop="1">
      <c r="A35" s="254" t="s">
        <v>23</v>
      </c>
      <c r="B35" s="61" t="s">
        <v>95</v>
      </c>
      <c r="C35" s="104">
        <v>0</v>
      </c>
      <c r="D35" s="221">
        <f>6.39+3.138+0.093</f>
        <v>9.620999999999999</v>
      </c>
      <c r="E35" s="251">
        <f>75+21</f>
        <v>96</v>
      </c>
      <c r="F35" s="344">
        <v>29.1</v>
      </c>
      <c r="G35" s="243">
        <v>1057.14</v>
      </c>
      <c r="H35" s="244">
        <v>47.23</v>
      </c>
      <c r="I35" s="69"/>
      <c r="J35" s="60"/>
      <c r="K35" s="69"/>
      <c r="L35" s="60"/>
      <c r="M35" s="69"/>
      <c r="N35" s="60"/>
      <c r="O35" s="56"/>
    </row>
    <row r="36" spans="1:15" ht="12.75">
      <c r="A36" s="250"/>
      <c r="B36" s="65" t="s">
        <v>96</v>
      </c>
      <c r="C36" s="103">
        <v>5850</v>
      </c>
      <c r="D36" s="222">
        <f>4.05+0.784+0.093</f>
        <v>4.927</v>
      </c>
      <c r="E36" s="343"/>
      <c r="F36" s="345"/>
      <c r="G36" s="262">
        <v>0</v>
      </c>
      <c r="H36" s="287">
        <v>5.81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250"/>
      <c r="B37" s="65" t="s">
        <v>114</v>
      </c>
      <c r="C37" s="103">
        <v>17.25</v>
      </c>
      <c r="D37" s="222">
        <v>46.514</v>
      </c>
      <c r="E37" s="343"/>
      <c r="F37" s="345"/>
      <c r="G37" s="398"/>
      <c r="H37" s="397"/>
      <c r="I37" s="65"/>
      <c r="J37" s="66"/>
      <c r="K37" s="65"/>
      <c r="L37" s="66"/>
      <c r="M37" s="65"/>
      <c r="N37" s="66"/>
      <c r="O37" s="56"/>
    </row>
    <row r="38" spans="1:15" ht="13.5" thickTop="1">
      <c r="A38" s="254" t="s">
        <v>24</v>
      </c>
      <c r="B38" s="61" t="s">
        <v>95</v>
      </c>
      <c r="C38" s="104">
        <v>0</v>
      </c>
      <c r="D38" s="221">
        <f>6.39+3.138+0.093</f>
        <v>9.620999999999999</v>
      </c>
      <c r="E38" s="251">
        <f>72+17</f>
        <v>89</v>
      </c>
      <c r="F38" s="344">
        <v>29.1</v>
      </c>
      <c r="G38" s="243">
        <v>1057.14</v>
      </c>
      <c r="H38" s="244">
        <v>47.23</v>
      </c>
      <c r="I38" s="69"/>
      <c r="J38" s="73"/>
      <c r="K38" s="73"/>
      <c r="L38" s="73"/>
      <c r="M38" s="73"/>
      <c r="N38" s="60"/>
      <c r="O38" s="56"/>
    </row>
    <row r="39" spans="1:15" ht="12.75">
      <c r="A39" s="250"/>
      <c r="B39" s="65" t="s">
        <v>96</v>
      </c>
      <c r="C39" s="103">
        <v>6540</v>
      </c>
      <c r="D39" s="222">
        <f>4.05+0.784+0.093</f>
        <v>4.927</v>
      </c>
      <c r="E39" s="343"/>
      <c r="F39" s="345"/>
      <c r="G39" s="262">
        <v>6520</v>
      </c>
      <c r="H39" s="287">
        <v>5.81</v>
      </c>
      <c r="I39" s="65"/>
      <c r="J39" s="74"/>
      <c r="K39" s="74"/>
      <c r="L39" s="74"/>
      <c r="M39" s="74"/>
      <c r="N39" s="66"/>
      <c r="O39" s="56"/>
    </row>
    <row r="40" spans="1:15" ht="12.75">
      <c r="A40" s="250"/>
      <c r="B40" s="65" t="s">
        <v>114</v>
      </c>
      <c r="C40" s="103">
        <v>17.25</v>
      </c>
      <c r="D40" s="222">
        <v>46.514</v>
      </c>
      <c r="E40" s="343"/>
      <c r="F40" s="345"/>
      <c r="G40" s="398"/>
      <c r="H40" s="397"/>
      <c r="I40" s="65"/>
      <c r="J40" s="74"/>
      <c r="K40" s="74"/>
      <c r="L40" s="74"/>
      <c r="M40" s="74"/>
      <c r="N40" s="66"/>
      <c r="O40" s="56"/>
    </row>
    <row r="41" spans="1:15" ht="12.75">
      <c r="A41" s="254" t="s">
        <v>25</v>
      </c>
      <c r="B41" s="69" t="s">
        <v>95</v>
      </c>
      <c r="C41" s="104">
        <v>0</v>
      </c>
      <c r="D41" s="221">
        <f>6.39+3.138+0.093</f>
        <v>9.620999999999999</v>
      </c>
      <c r="E41" s="251">
        <f>75+13</f>
        <v>88</v>
      </c>
      <c r="F41" s="344">
        <v>29.1</v>
      </c>
      <c r="G41" s="261">
        <v>1057.14</v>
      </c>
      <c r="H41" s="286">
        <v>47.23</v>
      </c>
      <c r="I41" s="69"/>
      <c r="J41" s="60"/>
      <c r="K41" s="69"/>
      <c r="L41" s="60"/>
      <c r="M41" s="69"/>
      <c r="N41" s="60"/>
      <c r="O41" s="56"/>
    </row>
    <row r="42" spans="1:15" ht="12.75">
      <c r="A42" s="250"/>
      <c r="B42" s="65" t="s">
        <v>96</v>
      </c>
      <c r="C42" s="103">
        <v>5610</v>
      </c>
      <c r="D42" s="222">
        <f>4.05+0.784+0.093</f>
        <v>4.927</v>
      </c>
      <c r="E42" s="343"/>
      <c r="F42" s="345"/>
      <c r="G42" s="262"/>
      <c r="H42" s="287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50"/>
      <c r="B43" s="65" t="s">
        <v>95</v>
      </c>
      <c r="C43" s="103">
        <v>17.25</v>
      </c>
      <c r="D43" s="222">
        <v>46.514</v>
      </c>
      <c r="E43" s="343"/>
      <c r="F43" s="345"/>
      <c r="G43" s="246">
        <v>49928.72</v>
      </c>
      <c r="H43" s="247">
        <v>5.81</v>
      </c>
      <c r="I43" s="65"/>
      <c r="J43" s="66"/>
      <c r="K43" s="65"/>
      <c r="L43" s="66"/>
      <c r="M43" s="65"/>
      <c r="N43" s="66"/>
      <c r="O43" s="56"/>
    </row>
    <row r="44" spans="1:15" ht="12.75">
      <c r="A44" s="376" t="s">
        <v>26</v>
      </c>
      <c r="B44" s="80" t="s">
        <v>95</v>
      </c>
      <c r="C44" s="80"/>
      <c r="D44" s="221"/>
      <c r="E44" s="379"/>
      <c r="F44" s="382"/>
      <c r="G44" s="384"/>
      <c r="H44" s="373"/>
      <c r="I44" s="172"/>
      <c r="J44" s="191"/>
      <c r="K44" s="189"/>
      <c r="L44" s="191"/>
      <c r="M44" s="189"/>
      <c r="N44" s="181"/>
      <c r="O44" s="56"/>
    </row>
    <row r="45" spans="1:15" ht="12.75">
      <c r="A45" s="377"/>
      <c r="B45" s="81" t="s">
        <v>96</v>
      </c>
      <c r="C45" s="81"/>
      <c r="D45" s="222"/>
      <c r="E45" s="380"/>
      <c r="F45" s="345"/>
      <c r="G45" s="347"/>
      <c r="H45" s="374"/>
      <c r="I45" s="162"/>
      <c r="J45" s="66"/>
      <c r="K45" s="65"/>
      <c r="L45" s="66"/>
      <c r="M45" s="65"/>
      <c r="N45" s="182"/>
      <c r="O45" s="56"/>
    </row>
    <row r="46" spans="1:15" ht="13.5" thickBot="1">
      <c r="A46" s="378"/>
      <c r="B46" s="185" t="s">
        <v>95</v>
      </c>
      <c r="C46" s="185"/>
      <c r="D46" s="222"/>
      <c r="E46" s="381"/>
      <c r="F46" s="383"/>
      <c r="G46" s="385"/>
      <c r="H46" s="375"/>
      <c r="I46" s="174"/>
      <c r="J46" s="192"/>
      <c r="K46" s="190"/>
      <c r="L46" s="192"/>
      <c r="M46" s="190"/>
      <c r="N46" s="184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94" t="s">
        <v>32</v>
      </c>
      <c r="B48" s="394"/>
      <c r="C48" s="394"/>
      <c r="D48" s="39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7" t="s">
        <v>35</v>
      </c>
      <c r="C50" s="327"/>
      <c r="D50" s="327"/>
      <c r="E50" s="328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7" t="s">
        <v>34</v>
      </c>
      <c r="C51" s="327"/>
      <c r="D51" s="32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9:H40"/>
    <mergeCell ref="G29:G31"/>
    <mergeCell ref="H33:H34"/>
    <mergeCell ref="G36:G37"/>
    <mergeCell ref="H36:H37"/>
    <mergeCell ref="H29:H31"/>
    <mergeCell ref="G33:G34"/>
    <mergeCell ref="G39:G40"/>
    <mergeCell ref="H26:H28"/>
    <mergeCell ref="A26:A28"/>
    <mergeCell ref="E26:E28"/>
    <mergeCell ref="F26:F28"/>
    <mergeCell ref="G26:G28"/>
    <mergeCell ref="F20:F22"/>
    <mergeCell ref="A29:A31"/>
    <mergeCell ref="E29:E31"/>
    <mergeCell ref="F29:F31"/>
    <mergeCell ref="H23:H25"/>
    <mergeCell ref="A23:A25"/>
    <mergeCell ref="E23:E25"/>
    <mergeCell ref="F23:F25"/>
    <mergeCell ref="G23:G25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9:C10"/>
    <mergeCell ref="I1:K1"/>
    <mergeCell ref="I2:K2"/>
    <mergeCell ref="I3:K3"/>
    <mergeCell ref="G11:G13"/>
    <mergeCell ref="I9:J9"/>
    <mergeCell ref="K9:L9"/>
    <mergeCell ref="G9:H9"/>
    <mergeCell ref="H11:H13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E14:E16"/>
    <mergeCell ref="G20:G22"/>
    <mergeCell ref="F14:F16"/>
    <mergeCell ref="H20:H22"/>
    <mergeCell ref="G14:G16"/>
    <mergeCell ref="H17:H19"/>
    <mergeCell ref="H14:H16"/>
    <mergeCell ref="F17:F19"/>
    <mergeCell ref="G17:G19"/>
    <mergeCell ref="E20:E22"/>
    <mergeCell ref="A41:A43"/>
    <mergeCell ref="E41:E43"/>
    <mergeCell ref="H44:H46"/>
    <mergeCell ref="A44:A46"/>
    <mergeCell ref="E44:E46"/>
    <mergeCell ref="F44:F46"/>
    <mergeCell ref="G44:G46"/>
    <mergeCell ref="G41:G42"/>
    <mergeCell ref="H41:H42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3">
      <selection activeCell="C44" sqref="C44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283" t="s">
        <v>27</v>
      </c>
      <c r="H9" s="284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2"/>
      <c r="B10" s="399"/>
      <c r="C10" s="342"/>
      <c r="D10" s="331"/>
      <c r="E10" s="314"/>
      <c r="F10" s="331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25" t="s">
        <v>16</v>
      </c>
      <c r="B11" s="94" t="s">
        <v>95</v>
      </c>
      <c r="C11" s="204">
        <v>3653</v>
      </c>
      <c r="D11" s="225">
        <f>(5.48+3.138+0.093)*1.075</f>
        <v>9.364325</v>
      </c>
      <c r="E11" s="315">
        <f>44+32</f>
        <v>76</v>
      </c>
      <c r="F11" s="316">
        <v>25.76</v>
      </c>
      <c r="G11" s="427">
        <f>150*84</f>
        <v>12600</v>
      </c>
      <c r="H11" s="414">
        <v>12.33</v>
      </c>
      <c r="I11" s="112"/>
      <c r="J11" s="114"/>
      <c r="K11" s="112"/>
      <c r="L11" s="114"/>
      <c r="M11" s="112"/>
      <c r="N11" s="114"/>
    </row>
    <row r="12" spans="1:14" ht="15.75" customHeight="1">
      <c r="A12" s="426"/>
      <c r="B12" s="97" t="s">
        <v>102</v>
      </c>
      <c r="C12" s="108">
        <v>1827</v>
      </c>
      <c r="D12" s="226">
        <f>(3.49+0.784+0.093)*1.075</f>
        <v>4.694525</v>
      </c>
      <c r="E12" s="428"/>
      <c r="F12" s="336"/>
      <c r="G12" s="320"/>
      <c r="H12" s="415"/>
      <c r="I12" s="84"/>
      <c r="J12" s="120"/>
      <c r="K12" s="84"/>
      <c r="L12" s="120"/>
      <c r="M12" s="84"/>
      <c r="N12" s="120"/>
    </row>
    <row r="13" spans="1:14" ht="15.75" customHeight="1" thickBot="1">
      <c r="A13" s="426"/>
      <c r="B13" s="97" t="s">
        <v>114</v>
      </c>
      <c r="C13" s="107">
        <v>17.25</v>
      </c>
      <c r="D13" s="226">
        <f>46.514*1.075</f>
        <v>50.00255</v>
      </c>
      <c r="E13" s="428"/>
      <c r="F13" s="336"/>
      <c r="G13" s="320"/>
      <c r="H13" s="415"/>
      <c r="I13" s="176"/>
      <c r="J13" s="123"/>
      <c r="K13" s="176"/>
      <c r="L13" s="123"/>
      <c r="M13" s="176"/>
      <c r="N13" s="123"/>
    </row>
    <row r="14" spans="1:14" ht="15" customHeight="1" thickTop="1">
      <c r="A14" s="424" t="s">
        <v>17</v>
      </c>
      <c r="B14" s="94" t="s">
        <v>95</v>
      </c>
      <c r="C14" s="205">
        <v>4173</v>
      </c>
      <c r="D14" s="225">
        <f>(5.48+3.138+0.093)*1.075</f>
        <v>9.364325</v>
      </c>
      <c r="E14" s="422">
        <f>107+37</f>
        <v>144</v>
      </c>
      <c r="F14" s="423">
        <v>25.76</v>
      </c>
      <c r="G14" s="421">
        <f>150*84</f>
        <v>12600</v>
      </c>
      <c r="H14" s="414">
        <v>12.33</v>
      </c>
      <c r="I14" s="7"/>
      <c r="J14" s="164"/>
      <c r="K14" s="112"/>
      <c r="L14" s="114"/>
      <c r="M14" s="112"/>
      <c r="N14" s="114"/>
    </row>
    <row r="15" spans="1:14" ht="15" customHeight="1">
      <c r="A15" s="424"/>
      <c r="B15" s="97" t="s">
        <v>102</v>
      </c>
      <c r="C15" s="108">
        <v>2087</v>
      </c>
      <c r="D15" s="226">
        <f>(3.49+0.784+0.093)*1.075</f>
        <v>4.694525</v>
      </c>
      <c r="E15" s="422"/>
      <c r="F15" s="423"/>
      <c r="G15" s="421"/>
      <c r="H15" s="415"/>
      <c r="I15" s="7"/>
      <c r="J15" s="164"/>
      <c r="K15" s="84"/>
      <c r="L15" s="120"/>
      <c r="M15" s="84"/>
      <c r="N15" s="120"/>
    </row>
    <row r="16" spans="1:14" ht="15" customHeight="1" thickBot="1">
      <c r="A16" s="424"/>
      <c r="B16" s="97" t="s">
        <v>114</v>
      </c>
      <c r="C16" s="107">
        <v>17.25</v>
      </c>
      <c r="D16" s="226">
        <f>46.514*1.075</f>
        <v>50.00255</v>
      </c>
      <c r="E16" s="422"/>
      <c r="F16" s="423"/>
      <c r="G16" s="421"/>
      <c r="H16" s="415"/>
      <c r="I16" s="7"/>
      <c r="J16" s="164"/>
      <c r="K16" s="176"/>
      <c r="L16" s="123"/>
      <c r="M16" s="176"/>
      <c r="N16" s="123"/>
    </row>
    <row r="17" spans="1:14" ht="13.5" thickTop="1">
      <c r="A17" s="424" t="s">
        <v>18</v>
      </c>
      <c r="B17" s="94" t="s">
        <v>95</v>
      </c>
      <c r="C17" s="205">
        <v>4413</v>
      </c>
      <c r="D17" s="225">
        <f>(5.48+3.138+0.093)*1.075</f>
        <v>9.364325</v>
      </c>
      <c r="E17" s="422">
        <f>215+43</f>
        <v>258</v>
      </c>
      <c r="F17" s="423">
        <v>25.76</v>
      </c>
      <c r="G17" s="421">
        <f>150*84</f>
        <v>12600</v>
      </c>
      <c r="H17" s="414">
        <v>12.33</v>
      </c>
      <c r="I17" s="112"/>
      <c r="J17" s="114"/>
      <c r="K17" s="112"/>
      <c r="L17" s="114"/>
      <c r="M17" s="112"/>
      <c r="N17" s="114"/>
    </row>
    <row r="18" spans="1:14" ht="12.75">
      <c r="A18" s="424"/>
      <c r="B18" s="97" t="s">
        <v>102</v>
      </c>
      <c r="C18" s="108">
        <v>2207</v>
      </c>
      <c r="D18" s="226">
        <f>(3.49+0.784+0.093)*1.075</f>
        <v>4.694525</v>
      </c>
      <c r="E18" s="422"/>
      <c r="F18" s="423"/>
      <c r="G18" s="421"/>
      <c r="H18" s="415"/>
      <c r="I18" s="84"/>
      <c r="J18" s="120"/>
      <c r="K18" s="84"/>
      <c r="L18" s="120"/>
      <c r="M18" s="84"/>
      <c r="N18" s="120"/>
    </row>
    <row r="19" spans="1:14" ht="13.5" thickBot="1">
      <c r="A19" s="424"/>
      <c r="B19" s="97" t="s">
        <v>114</v>
      </c>
      <c r="C19" s="107">
        <v>17.25</v>
      </c>
      <c r="D19" s="226">
        <f>46.514*1.075</f>
        <v>50.00255</v>
      </c>
      <c r="E19" s="422"/>
      <c r="F19" s="423"/>
      <c r="G19" s="421"/>
      <c r="H19" s="415"/>
      <c r="I19" s="176"/>
      <c r="J19" s="123"/>
      <c r="K19" s="176"/>
      <c r="L19" s="123"/>
      <c r="M19" s="176"/>
      <c r="N19" s="123"/>
    </row>
    <row r="20" spans="1:14" ht="13.5" thickTop="1">
      <c r="A20" s="412" t="s">
        <v>19</v>
      </c>
      <c r="B20" s="94" t="s">
        <v>95</v>
      </c>
      <c r="C20" s="205">
        <v>2960</v>
      </c>
      <c r="D20" s="225">
        <f>(5.48+3.138+0.093)*1.075</f>
        <v>9.364325</v>
      </c>
      <c r="E20" s="422">
        <f>121+34</f>
        <v>155</v>
      </c>
      <c r="F20" s="423">
        <v>25.76</v>
      </c>
      <c r="G20" s="421">
        <f>150*84</f>
        <v>12600</v>
      </c>
      <c r="H20" s="414">
        <v>12.33</v>
      </c>
      <c r="I20" s="7"/>
      <c r="J20" s="8"/>
      <c r="K20" s="7"/>
      <c r="L20" s="8"/>
      <c r="M20" s="7"/>
      <c r="N20" s="8"/>
    </row>
    <row r="21" spans="1:14" ht="12.75">
      <c r="A21" s="413"/>
      <c r="B21" s="97" t="s">
        <v>102</v>
      </c>
      <c r="C21" s="108">
        <v>1480</v>
      </c>
      <c r="D21" s="226">
        <f>(3.49+0.784+0.093)*1.075</f>
        <v>4.694525</v>
      </c>
      <c r="E21" s="422"/>
      <c r="F21" s="423"/>
      <c r="G21" s="421"/>
      <c r="H21" s="415"/>
      <c r="I21" s="7"/>
      <c r="J21" s="8"/>
      <c r="K21" s="7"/>
      <c r="L21" s="8"/>
      <c r="M21" s="7"/>
      <c r="N21" s="8"/>
    </row>
    <row r="22" spans="1:14" ht="13.5" thickBot="1">
      <c r="A22" s="413"/>
      <c r="B22" s="97" t="s">
        <v>114</v>
      </c>
      <c r="C22" s="107">
        <v>17.25</v>
      </c>
      <c r="D22" s="226">
        <f>46.514*1.075</f>
        <v>50.00255</v>
      </c>
      <c r="E22" s="422"/>
      <c r="F22" s="423"/>
      <c r="G22" s="421"/>
      <c r="H22" s="415"/>
      <c r="I22" s="7"/>
      <c r="J22" s="8"/>
      <c r="K22" s="7"/>
      <c r="L22" s="8"/>
      <c r="M22" s="7"/>
      <c r="N22" s="8"/>
    </row>
    <row r="23" spans="1:14" ht="13.5" thickTop="1">
      <c r="A23" s="412" t="s">
        <v>20</v>
      </c>
      <c r="B23" s="94" t="s">
        <v>95</v>
      </c>
      <c r="C23" s="205">
        <v>4800</v>
      </c>
      <c r="D23" s="225">
        <f>(5.48+3.138+0.093)*1.075</f>
        <v>9.364325</v>
      </c>
      <c r="E23" s="422">
        <f>186+52</f>
        <v>238</v>
      </c>
      <c r="F23" s="423">
        <v>25.76</v>
      </c>
      <c r="G23" s="332">
        <f>150*84</f>
        <v>12600</v>
      </c>
      <c r="H23" s="414">
        <v>12.33</v>
      </c>
      <c r="I23" s="14"/>
      <c r="J23" s="15"/>
      <c r="K23" s="14"/>
      <c r="L23" s="15"/>
      <c r="M23" s="14"/>
      <c r="N23" s="15"/>
    </row>
    <row r="24" spans="1:14" ht="12.75">
      <c r="A24" s="413"/>
      <c r="B24" s="97" t="s">
        <v>102</v>
      </c>
      <c r="C24" s="108">
        <v>2400</v>
      </c>
      <c r="D24" s="226">
        <f>(3.49+0.784+0.093)*1.075</f>
        <v>4.694525</v>
      </c>
      <c r="E24" s="422"/>
      <c r="F24" s="423"/>
      <c r="G24" s="418"/>
      <c r="H24" s="415"/>
      <c r="I24" s="7"/>
      <c r="J24" s="8"/>
      <c r="K24" s="7"/>
      <c r="L24" s="8"/>
      <c r="M24" s="7"/>
      <c r="N24" s="8"/>
    </row>
    <row r="25" spans="1:14" ht="13.5" thickBot="1">
      <c r="A25" s="413"/>
      <c r="B25" s="97" t="s">
        <v>114</v>
      </c>
      <c r="C25" s="107">
        <v>17.25</v>
      </c>
      <c r="D25" s="226">
        <f>46.514*1.075</f>
        <v>50.00255</v>
      </c>
      <c r="E25" s="422"/>
      <c r="F25" s="423"/>
      <c r="G25" s="418"/>
      <c r="H25" s="415"/>
      <c r="I25" s="7"/>
      <c r="J25" s="8"/>
      <c r="K25" s="7"/>
      <c r="L25" s="8"/>
      <c r="M25" s="7"/>
      <c r="N25" s="8"/>
    </row>
    <row r="26" spans="1:14" ht="13.5" thickTop="1">
      <c r="A26" s="412" t="s">
        <v>69</v>
      </c>
      <c r="B26" s="94" t="s">
        <v>95</v>
      </c>
      <c r="C26" s="205">
        <v>3840</v>
      </c>
      <c r="D26" s="225">
        <f>(5.48+3.138+0.093)*1.075</f>
        <v>9.364325</v>
      </c>
      <c r="E26" s="422">
        <f>97+42</f>
        <v>139</v>
      </c>
      <c r="F26" s="423">
        <v>29.1</v>
      </c>
      <c r="G26" s="332">
        <f>150*84</f>
        <v>12600</v>
      </c>
      <c r="H26" s="414">
        <v>12.33</v>
      </c>
      <c r="I26" s="14"/>
      <c r="J26" s="15"/>
      <c r="K26" s="14"/>
      <c r="L26" s="15"/>
      <c r="M26" s="14"/>
      <c r="N26" s="15"/>
    </row>
    <row r="27" spans="1:14" ht="12.75">
      <c r="A27" s="413"/>
      <c r="B27" s="97" t="s">
        <v>102</v>
      </c>
      <c r="C27" s="108">
        <v>1920</v>
      </c>
      <c r="D27" s="226">
        <f>(3.49+0.784+0.093)*1.075</f>
        <v>4.694525</v>
      </c>
      <c r="E27" s="422"/>
      <c r="F27" s="423"/>
      <c r="G27" s="418"/>
      <c r="H27" s="415"/>
      <c r="I27" s="7"/>
      <c r="J27" s="8"/>
      <c r="K27" s="7"/>
      <c r="L27" s="8"/>
      <c r="M27" s="7"/>
      <c r="N27" s="8"/>
    </row>
    <row r="28" spans="1:14" ht="13.5" thickBot="1">
      <c r="A28" s="413"/>
      <c r="B28" s="97" t="s">
        <v>114</v>
      </c>
      <c r="C28" s="107">
        <v>17.25</v>
      </c>
      <c r="D28" s="226">
        <f>46.514*1.075</f>
        <v>50.00255</v>
      </c>
      <c r="E28" s="422"/>
      <c r="F28" s="423"/>
      <c r="G28" s="418"/>
      <c r="H28" s="415"/>
      <c r="I28" s="7"/>
      <c r="J28" s="8"/>
      <c r="K28" s="7"/>
      <c r="L28" s="8"/>
      <c r="M28" s="7"/>
      <c r="N28" s="8"/>
    </row>
    <row r="29" spans="1:14" ht="13.5" thickTop="1">
      <c r="A29" s="412" t="s">
        <v>70</v>
      </c>
      <c r="B29" s="146" t="s">
        <v>95</v>
      </c>
      <c r="C29" s="153">
        <v>4053</v>
      </c>
      <c r="D29" s="225">
        <f>(5.48+3.138+0.093)*1.075</f>
        <v>9.364325</v>
      </c>
      <c r="E29" s="416">
        <f>144+36</f>
        <v>180</v>
      </c>
      <c r="F29" s="330">
        <v>29.1</v>
      </c>
      <c r="G29" s="332">
        <f>150*84</f>
        <v>12600</v>
      </c>
      <c r="H29" s="414">
        <v>12.33</v>
      </c>
      <c r="I29" s="14"/>
      <c r="J29" s="15"/>
      <c r="K29" s="14"/>
      <c r="L29" s="15"/>
      <c r="M29" s="14"/>
      <c r="N29" s="15"/>
    </row>
    <row r="30" spans="1:14" ht="12.75">
      <c r="A30" s="413"/>
      <c r="B30" s="147" t="s">
        <v>102</v>
      </c>
      <c r="C30" s="79">
        <v>2027</v>
      </c>
      <c r="D30" s="226">
        <f>(3.49+0.784+0.093)*1.075</f>
        <v>4.694525</v>
      </c>
      <c r="E30" s="417"/>
      <c r="F30" s="309"/>
      <c r="G30" s="418"/>
      <c r="H30" s="415"/>
      <c r="I30" s="7"/>
      <c r="J30" s="8"/>
      <c r="K30" s="7"/>
      <c r="L30" s="8"/>
      <c r="M30" s="7"/>
      <c r="N30" s="8"/>
    </row>
    <row r="31" spans="1:14" ht="13.5" thickBot="1">
      <c r="A31" s="413"/>
      <c r="B31" s="147" t="s">
        <v>114</v>
      </c>
      <c r="C31" s="148">
        <v>17.25</v>
      </c>
      <c r="D31" s="226">
        <f>46.514*1.075</f>
        <v>50.00255</v>
      </c>
      <c r="E31" s="417"/>
      <c r="F31" s="309"/>
      <c r="G31" s="418"/>
      <c r="H31" s="415"/>
      <c r="I31" s="7"/>
      <c r="J31" s="8"/>
      <c r="K31" s="7"/>
      <c r="L31" s="8"/>
      <c r="M31" s="7"/>
      <c r="N31" s="8"/>
    </row>
    <row r="32" spans="1:14" ht="13.5" thickTop="1">
      <c r="A32" s="412" t="s">
        <v>22</v>
      </c>
      <c r="B32" s="146" t="s">
        <v>95</v>
      </c>
      <c r="C32" s="153">
        <v>3880</v>
      </c>
      <c r="D32" s="225">
        <f>(5.48+3.138+0.093)*1.075</f>
        <v>9.364325</v>
      </c>
      <c r="E32" s="416">
        <f>99+39</f>
        <v>138</v>
      </c>
      <c r="F32" s="330">
        <v>29.1</v>
      </c>
      <c r="G32" s="25">
        <v>801.96</v>
      </c>
      <c r="H32" s="245">
        <v>47.23</v>
      </c>
      <c r="I32" s="137"/>
      <c r="J32" s="149"/>
      <c r="K32" s="137"/>
      <c r="L32" s="149"/>
      <c r="M32" s="137"/>
      <c r="N32" s="149"/>
    </row>
    <row r="33" spans="1:14" ht="12.75" customHeight="1">
      <c r="A33" s="413"/>
      <c r="B33" s="147" t="s">
        <v>102</v>
      </c>
      <c r="C33" s="79">
        <v>1940</v>
      </c>
      <c r="D33" s="226">
        <f>(3.49+0.784+0.093)*1.075</f>
        <v>4.694525</v>
      </c>
      <c r="E33" s="417"/>
      <c r="F33" s="309"/>
      <c r="G33" s="418">
        <v>0</v>
      </c>
      <c r="H33" s="419">
        <v>5.81</v>
      </c>
      <c r="I33" s="138"/>
      <c r="J33" s="150"/>
      <c r="K33" s="138"/>
      <c r="L33" s="150"/>
      <c r="M33" s="138"/>
      <c r="N33" s="150"/>
    </row>
    <row r="34" spans="1:14" ht="12.75" customHeight="1" thickBot="1">
      <c r="A34" s="413"/>
      <c r="B34" s="147" t="s">
        <v>114</v>
      </c>
      <c r="C34" s="148">
        <v>17.25</v>
      </c>
      <c r="D34" s="226">
        <f>46.514*1.075</f>
        <v>50.00255</v>
      </c>
      <c r="E34" s="417"/>
      <c r="F34" s="309"/>
      <c r="G34" s="320"/>
      <c r="H34" s="420"/>
      <c r="I34" s="139"/>
      <c r="J34" s="151"/>
      <c r="K34" s="139"/>
      <c r="L34" s="151"/>
      <c r="M34" s="139"/>
      <c r="N34" s="151"/>
    </row>
    <row r="35" spans="1:14" ht="12.75" customHeight="1" thickTop="1">
      <c r="A35" s="412" t="s">
        <v>23</v>
      </c>
      <c r="B35" s="94" t="s">
        <v>95</v>
      </c>
      <c r="C35" s="107">
        <v>6860</v>
      </c>
      <c r="D35" s="225">
        <f>6.39+3.138+0.093</f>
        <v>9.620999999999999</v>
      </c>
      <c r="E35" s="416">
        <f>49+37</f>
        <v>86</v>
      </c>
      <c r="F35" s="330">
        <v>29.1</v>
      </c>
      <c r="G35" s="25">
        <v>801.96</v>
      </c>
      <c r="H35" s="245">
        <v>47.23</v>
      </c>
      <c r="I35" s="137"/>
      <c r="J35" s="149"/>
      <c r="K35" s="137"/>
      <c r="L35" s="149"/>
      <c r="M35" s="137"/>
      <c r="N35" s="149"/>
    </row>
    <row r="36" spans="1:14" ht="12.75" customHeight="1">
      <c r="A36" s="413"/>
      <c r="B36" s="97" t="s">
        <v>102</v>
      </c>
      <c r="C36" s="107">
        <v>0</v>
      </c>
      <c r="D36" s="226">
        <f>4.05+0.784+0.093</f>
        <v>4.927</v>
      </c>
      <c r="E36" s="417"/>
      <c r="F36" s="309"/>
      <c r="G36" s="418">
        <v>0</v>
      </c>
      <c r="H36" s="419">
        <v>5.81</v>
      </c>
      <c r="I36" s="138"/>
      <c r="J36" s="150"/>
      <c r="K36" s="138"/>
      <c r="L36" s="150"/>
      <c r="M36" s="138"/>
      <c r="N36" s="150"/>
    </row>
    <row r="37" spans="1:14" ht="12.75" customHeight="1" thickBot="1">
      <c r="A37" s="413"/>
      <c r="B37" s="97" t="s">
        <v>114</v>
      </c>
      <c r="C37" s="107">
        <v>17.25</v>
      </c>
      <c r="D37" s="226">
        <v>46.514</v>
      </c>
      <c r="E37" s="417"/>
      <c r="F37" s="309"/>
      <c r="G37" s="320"/>
      <c r="H37" s="420"/>
      <c r="I37" s="139"/>
      <c r="J37" s="151"/>
      <c r="K37" s="139"/>
      <c r="L37" s="151"/>
      <c r="M37" s="139"/>
      <c r="N37" s="151"/>
    </row>
    <row r="38" spans="1:14" ht="13.5" thickTop="1">
      <c r="A38" s="412" t="s">
        <v>24</v>
      </c>
      <c r="B38" s="146" t="s">
        <v>95</v>
      </c>
      <c r="C38" s="137">
        <v>5800</v>
      </c>
      <c r="D38" s="225">
        <f>6.39+3.138+0.093</f>
        <v>9.620999999999999</v>
      </c>
      <c r="E38" s="339">
        <f>80+39</f>
        <v>119</v>
      </c>
      <c r="F38" s="330">
        <v>29.1</v>
      </c>
      <c r="G38" s="25">
        <v>801.96</v>
      </c>
      <c r="H38" s="245">
        <v>47.23</v>
      </c>
      <c r="I38" s="137"/>
      <c r="J38" s="149"/>
      <c r="K38" s="137"/>
      <c r="L38" s="149"/>
      <c r="M38" s="137"/>
      <c r="N38" s="149"/>
    </row>
    <row r="39" spans="1:14" ht="15" customHeight="1">
      <c r="A39" s="413"/>
      <c r="B39" s="147" t="s">
        <v>102</v>
      </c>
      <c r="C39" s="138">
        <v>0</v>
      </c>
      <c r="D39" s="226">
        <f>4.05+0.784+0.093</f>
        <v>4.927</v>
      </c>
      <c r="E39" s="324"/>
      <c r="F39" s="309"/>
      <c r="G39" s="418">
        <v>6643</v>
      </c>
      <c r="H39" s="419">
        <v>5.81</v>
      </c>
      <c r="I39" s="138"/>
      <c r="J39" s="150"/>
      <c r="K39" s="138"/>
      <c r="L39" s="150"/>
      <c r="M39" s="138"/>
      <c r="N39" s="150"/>
    </row>
    <row r="40" spans="1:14" ht="15" customHeight="1" thickBot="1">
      <c r="A40" s="413"/>
      <c r="B40" s="147" t="s">
        <v>114</v>
      </c>
      <c r="C40" s="139">
        <v>17.25</v>
      </c>
      <c r="D40" s="226">
        <v>46.514</v>
      </c>
      <c r="E40" s="324"/>
      <c r="F40" s="309"/>
      <c r="G40" s="320"/>
      <c r="H40" s="420"/>
      <c r="I40" s="139"/>
      <c r="J40" s="151"/>
      <c r="K40" s="139"/>
      <c r="L40" s="151"/>
      <c r="M40" s="139"/>
      <c r="N40" s="151"/>
    </row>
    <row r="41" spans="1:14" ht="12.75">
      <c r="A41" s="412" t="s">
        <v>25</v>
      </c>
      <c r="B41" s="146" t="s">
        <v>95</v>
      </c>
      <c r="C41" s="159">
        <v>7420</v>
      </c>
      <c r="D41" s="225">
        <f>6.39+3.138+0.093</f>
        <v>9.620999999999999</v>
      </c>
      <c r="E41" s="339">
        <f>42+26</f>
        <v>68</v>
      </c>
      <c r="F41" s="330">
        <v>29.1</v>
      </c>
      <c r="G41" s="261">
        <v>801.96</v>
      </c>
      <c r="H41" s="286">
        <v>47.23</v>
      </c>
      <c r="I41" s="137"/>
      <c r="J41" s="149"/>
      <c r="K41" s="137"/>
      <c r="L41" s="149"/>
      <c r="M41" s="137"/>
      <c r="N41" s="149"/>
    </row>
    <row r="42" spans="1:14" ht="15" customHeight="1">
      <c r="A42" s="413"/>
      <c r="B42" s="147" t="s">
        <v>102</v>
      </c>
      <c r="C42" s="160">
        <v>0</v>
      </c>
      <c r="D42" s="226">
        <f>4.05+0.784+0.093</f>
        <v>4.927</v>
      </c>
      <c r="E42" s="324"/>
      <c r="F42" s="309"/>
      <c r="G42" s="262"/>
      <c r="H42" s="287"/>
      <c r="I42" s="138"/>
      <c r="J42" s="150"/>
      <c r="K42" s="138"/>
      <c r="L42" s="150"/>
      <c r="M42" s="138"/>
      <c r="N42" s="150"/>
    </row>
    <row r="43" spans="1:14" ht="15" customHeight="1" thickBot="1">
      <c r="A43" s="413"/>
      <c r="B43" s="147" t="s">
        <v>114</v>
      </c>
      <c r="C43" s="161">
        <v>17.25</v>
      </c>
      <c r="D43" s="226">
        <v>46.514</v>
      </c>
      <c r="E43" s="324"/>
      <c r="F43" s="309"/>
      <c r="G43" s="246">
        <v>37876.57</v>
      </c>
      <c r="H43" s="247">
        <v>5.81</v>
      </c>
      <c r="I43" s="139"/>
      <c r="J43" s="151"/>
      <c r="K43" s="139"/>
      <c r="L43" s="151"/>
      <c r="M43" s="139"/>
      <c r="N43" s="151"/>
    </row>
    <row r="44" spans="1:14" ht="12.75">
      <c r="A44" s="406" t="s">
        <v>26</v>
      </c>
      <c r="B44" s="193" t="s">
        <v>95</v>
      </c>
      <c r="C44" s="137"/>
      <c r="D44" s="225"/>
      <c r="E44" s="403"/>
      <c r="F44" s="403"/>
      <c r="G44" s="409"/>
      <c r="H44" s="400"/>
      <c r="I44" s="137"/>
      <c r="J44" s="149"/>
      <c r="K44" s="137"/>
      <c r="L44" s="149"/>
      <c r="M44" s="137"/>
      <c r="N44" s="149"/>
    </row>
    <row r="45" spans="1:14" ht="15" customHeight="1">
      <c r="A45" s="407"/>
      <c r="B45" s="194" t="s">
        <v>102</v>
      </c>
      <c r="C45" s="138"/>
      <c r="D45" s="226"/>
      <c r="E45" s="404"/>
      <c r="F45" s="404"/>
      <c r="G45" s="410"/>
      <c r="H45" s="401"/>
      <c r="I45" s="138"/>
      <c r="J45" s="150"/>
      <c r="K45" s="138"/>
      <c r="L45" s="150"/>
      <c r="M45" s="138"/>
      <c r="N45" s="150"/>
    </row>
    <row r="46" spans="1:14" ht="15" customHeight="1" thickBot="1">
      <c r="A46" s="408"/>
      <c r="B46" s="195" t="s">
        <v>114</v>
      </c>
      <c r="C46" s="139"/>
      <c r="D46" s="226"/>
      <c r="E46" s="405"/>
      <c r="F46" s="405"/>
      <c r="G46" s="411"/>
      <c r="H46" s="402"/>
      <c r="I46" s="139"/>
      <c r="J46" s="151"/>
      <c r="K46" s="139"/>
      <c r="L46" s="151"/>
      <c r="M46" s="139"/>
      <c r="N46" s="15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7" t="s">
        <v>32</v>
      </c>
      <c r="B48" s="327"/>
      <c r="C48" s="327"/>
      <c r="D48" s="328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7" t="s">
        <v>35</v>
      </c>
      <c r="C50" s="327"/>
      <c r="D50" s="327"/>
      <c r="E50" s="328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7" t="s">
        <v>34</v>
      </c>
      <c r="C51" s="327"/>
      <c r="D51" s="32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G36:G37"/>
    <mergeCell ref="H36:H37"/>
    <mergeCell ref="G41:G42"/>
    <mergeCell ref="H41:H42"/>
    <mergeCell ref="G39:G40"/>
    <mergeCell ref="H39:H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38:A40"/>
    <mergeCell ref="E38:E40"/>
    <mergeCell ref="F38:F40"/>
    <mergeCell ref="H29:H31"/>
    <mergeCell ref="F29:F31"/>
    <mergeCell ref="A32:A34"/>
    <mergeCell ref="E32:E34"/>
    <mergeCell ref="F32:F34"/>
    <mergeCell ref="G33:G34"/>
    <mergeCell ref="H33:H34"/>
    <mergeCell ref="B9:C10"/>
    <mergeCell ref="H44:H46"/>
    <mergeCell ref="F44:F46"/>
    <mergeCell ref="A44:A46"/>
    <mergeCell ref="E44:E46"/>
    <mergeCell ref="G44:G46"/>
    <mergeCell ref="A41:A43"/>
    <mergeCell ref="E41:E43"/>
    <mergeCell ref="F41:F43"/>
    <mergeCell ref="F35:F37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7">
      <selection activeCell="D31" sqref="D31:D32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283" t="s">
        <v>27</v>
      </c>
      <c r="H9" s="284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2"/>
      <c r="B10" s="323"/>
      <c r="C10" s="324"/>
      <c r="D10" s="309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5" t="s">
        <v>16</v>
      </c>
      <c r="B11" s="94" t="s">
        <v>95</v>
      </c>
      <c r="C11" s="213">
        <v>1680</v>
      </c>
      <c r="D11" s="120">
        <f>(4.98+2.745+0.093)*1.075</f>
        <v>8.40435</v>
      </c>
      <c r="E11" s="322">
        <v>284</v>
      </c>
      <c r="F11" s="326">
        <v>25.76</v>
      </c>
      <c r="G11" s="319">
        <f>182*84</f>
        <v>15288</v>
      </c>
      <c r="H11" s="330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38"/>
      <c r="B12" s="95" t="s">
        <v>112</v>
      </c>
      <c r="C12" s="105">
        <v>17.25</v>
      </c>
      <c r="D12" s="121">
        <f>(46.514*1.075)</f>
        <v>50.00255</v>
      </c>
      <c r="E12" s="340"/>
      <c r="F12" s="336"/>
      <c r="G12" s="320"/>
      <c r="H12" s="336"/>
      <c r="I12" s="7"/>
      <c r="J12" s="8"/>
      <c r="K12" s="7"/>
      <c r="L12" s="8"/>
      <c r="M12" s="7"/>
      <c r="N12" s="8"/>
    </row>
    <row r="13" spans="1:14" ht="15" customHeight="1">
      <c r="A13" s="337" t="s">
        <v>17</v>
      </c>
      <c r="B13" s="94" t="s">
        <v>95</v>
      </c>
      <c r="C13" s="108">
        <v>1900</v>
      </c>
      <c r="D13" s="120">
        <f>(4.98+2.745+0.093)*1.075</f>
        <v>8.40435</v>
      </c>
      <c r="E13" s="339">
        <v>224</v>
      </c>
      <c r="F13" s="429">
        <v>25.76</v>
      </c>
      <c r="G13" s="332">
        <f>182*84</f>
        <v>15288</v>
      </c>
      <c r="H13" s="330">
        <v>12.33</v>
      </c>
      <c r="I13" s="14"/>
      <c r="J13" s="15"/>
      <c r="K13" s="14"/>
      <c r="L13" s="15"/>
      <c r="M13" s="14"/>
      <c r="N13" s="15"/>
    </row>
    <row r="14" spans="1:14" ht="15" customHeight="1" thickBot="1">
      <c r="A14" s="338"/>
      <c r="B14" s="95" t="s">
        <v>112</v>
      </c>
      <c r="C14" s="105">
        <v>17.25</v>
      </c>
      <c r="D14" s="121">
        <f>(46.514*1.075)</f>
        <v>50.00255</v>
      </c>
      <c r="E14" s="340"/>
      <c r="F14" s="430"/>
      <c r="G14" s="320"/>
      <c r="H14" s="336"/>
      <c r="I14" s="21"/>
      <c r="J14" s="22"/>
      <c r="K14" s="21"/>
      <c r="L14" s="22"/>
      <c r="M14" s="21"/>
      <c r="N14" s="22"/>
    </row>
    <row r="15" spans="1:14" ht="15" customHeight="1">
      <c r="A15" s="337" t="s">
        <v>18</v>
      </c>
      <c r="B15" s="94" t="s">
        <v>95</v>
      </c>
      <c r="C15" s="108">
        <v>2320</v>
      </c>
      <c r="D15" s="120">
        <f>(4.98+2.745+0.093)*1.075</f>
        <v>8.40435</v>
      </c>
      <c r="E15" s="339">
        <v>298</v>
      </c>
      <c r="F15" s="429">
        <v>25.76</v>
      </c>
      <c r="G15" s="332">
        <f>182*84</f>
        <v>15288</v>
      </c>
      <c r="H15" s="330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38"/>
      <c r="B16" s="95" t="s">
        <v>112</v>
      </c>
      <c r="C16" s="105">
        <v>17.25</v>
      </c>
      <c r="D16" s="121">
        <f>(46.514*1.075)</f>
        <v>50.00255</v>
      </c>
      <c r="E16" s="340"/>
      <c r="F16" s="430"/>
      <c r="G16" s="320"/>
      <c r="H16" s="336"/>
      <c r="I16" s="21"/>
      <c r="J16" s="22"/>
      <c r="K16" s="21"/>
      <c r="L16" s="22"/>
      <c r="M16" s="21"/>
      <c r="N16" s="22"/>
    </row>
    <row r="17" spans="1:14" ht="15" customHeight="1">
      <c r="A17" s="337" t="s">
        <v>19</v>
      </c>
      <c r="B17" s="94" t="s">
        <v>95</v>
      </c>
      <c r="C17" s="241">
        <v>11880</v>
      </c>
      <c r="D17" s="120">
        <f>(4.98+2.745+0.093)*1.075</f>
        <v>8.40435</v>
      </c>
      <c r="E17" s="339">
        <v>140</v>
      </c>
      <c r="F17" s="429">
        <v>25.76</v>
      </c>
      <c r="G17" s="332">
        <f>182*84</f>
        <v>15288</v>
      </c>
      <c r="H17" s="330">
        <v>12.33</v>
      </c>
      <c r="I17" s="14"/>
      <c r="J17" s="15"/>
      <c r="K17" s="14"/>
      <c r="L17" s="15"/>
      <c r="M17" s="14"/>
      <c r="N17" s="15"/>
    </row>
    <row r="18" spans="1:14" ht="13.5" thickBot="1">
      <c r="A18" s="338"/>
      <c r="B18" s="95" t="s">
        <v>112</v>
      </c>
      <c r="C18" s="242">
        <v>17.25</v>
      </c>
      <c r="D18" s="121">
        <f>(46.514*1.075)</f>
        <v>50.00255</v>
      </c>
      <c r="E18" s="340"/>
      <c r="F18" s="430"/>
      <c r="G18" s="320"/>
      <c r="H18" s="336"/>
      <c r="I18" s="21"/>
      <c r="J18" s="22"/>
      <c r="K18" s="21"/>
      <c r="L18" s="22"/>
      <c r="M18" s="21"/>
      <c r="N18" s="22"/>
    </row>
    <row r="19" spans="1:14" ht="12.75">
      <c r="A19" s="337" t="s">
        <v>20</v>
      </c>
      <c r="B19" s="94" t="s">
        <v>95</v>
      </c>
      <c r="C19" s="108">
        <v>1920</v>
      </c>
      <c r="D19" s="120">
        <f>(4.98+2.745+0.093)*1.075</f>
        <v>8.40435</v>
      </c>
      <c r="E19" s="339">
        <v>175</v>
      </c>
      <c r="F19" s="429">
        <v>25.76</v>
      </c>
      <c r="G19" s="332">
        <f>182*84</f>
        <v>15288</v>
      </c>
      <c r="H19" s="330">
        <v>12.33</v>
      </c>
      <c r="I19" s="14"/>
      <c r="J19" s="15"/>
      <c r="K19" s="14"/>
      <c r="L19" s="15"/>
      <c r="M19" s="14"/>
      <c r="N19" s="15"/>
    </row>
    <row r="20" spans="1:14" ht="13.5" thickBot="1">
      <c r="A20" s="338"/>
      <c r="B20" s="95" t="s">
        <v>112</v>
      </c>
      <c r="C20" s="105">
        <v>17.25</v>
      </c>
      <c r="D20" s="121">
        <f>(46.514*1.075)</f>
        <v>50.00255</v>
      </c>
      <c r="E20" s="340"/>
      <c r="F20" s="430"/>
      <c r="G20" s="320"/>
      <c r="H20" s="336"/>
      <c r="I20" s="21"/>
      <c r="J20" s="22"/>
      <c r="K20" s="21"/>
      <c r="L20" s="22"/>
      <c r="M20" s="21"/>
      <c r="N20" s="22"/>
    </row>
    <row r="21" spans="1:14" ht="12.75">
      <c r="A21" s="337" t="s">
        <v>69</v>
      </c>
      <c r="B21" s="94" t="s">
        <v>95</v>
      </c>
      <c r="C21" s="107">
        <v>1020</v>
      </c>
      <c r="D21" s="120">
        <f>(4.98+2.745+0.093)*1.075</f>
        <v>8.40435</v>
      </c>
      <c r="E21" s="339">
        <v>100</v>
      </c>
      <c r="F21" s="429">
        <v>29.1</v>
      </c>
      <c r="G21" s="332">
        <f>182*84</f>
        <v>15288</v>
      </c>
      <c r="H21" s="330">
        <v>12.33</v>
      </c>
      <c r="I21" s="14"/>
      <c r="J21" s="15"/>
      <c r="K21" s="14"/>
      <c r="L21" s="15"/>
      <c r="M21" s="14"/>
      <c r="N21" s="15"/>
    </row>
    <row r="22" spans="1:14" ht="13.5" thickBot="1">
      <c r="A22" s="338"/>
      <c r="B22" s="95" t="s">
        <v>112</v>
      </c>
      <c r="C22" s="105">
        <v>17.25</v>
      </c>
      <c r="D22" s="121">
        <f>(46.514*1.075)</f>
        <v>50.00255</v>
      </c>
      <c r="E22" s="340"/>
      <c r="F22" s="430"/>
      <c r="G22" s="320"/>
      <c r="H22" s="336"/>
      <c r="I22" s="21"/>
      <c r="J22" s="22"/>
      <c r="K22" s="21"/>
      <c r="L22" s="22"/>
      <c r="M22" s="21"/>
      <c r="N22" s="22"/>
    </row>
    <row r="23" spans="1:14" ht="12.75">
      <c r="A23" s="337" t="s">
        <v>70</v>
      </c>
      <c r="B23" s="94" t="s">
        <v>95</v>
      </c>
      <c r="C23" s="107">
        <v>0</v>
      </c>
      <c r="D23" s="120">
        <f>(4.98+2.745+0.093)*1.075</f>
        <v>8.40435</v>
      </c>
      <c r="E23" s="339">
        <v>73</v>
      </c>
      <c r="F23" s="330">
        <v>29.1</v>
      </c>
      <c r="G23" s="332">
        <f>182*84</f>
        <v>15288</v>
      </c>
      <c r="H23" s="330">
        <v>12.33</v>
      </c>
      <c r="I23" s="14"/>
      <c r="J23" s="15"/>
      <c r="K23" s="14"/>
      <c r="L23" s="15"/>
      <c r="M23" s="14"/>
      <c r="N23" s="15"/>
    </row>
    <row r="24" spans="1:14" ht="13.5" thickBot="1">
      <c r="A24" s="338"/>
      <c r="B24" s="95" t="s">
        <v>112</v>
      </c>
      <c r="C24" s="105">
        <v>17.25</v>
      </c>
      <c r="D24" s="121">
        <f>(46.514*1.075)</f>
        <v>50.00255</v>
      </c>
      <c r="E24" s="340"/>
      <c r="F24" s="336"/>
      <c r="G24" s="320"/>
      <c r="H24" s="336"/>
      <c r="I24" s="21"/>
      <c r="J24" s="22"/>
      <c r="K24" s="21"/>
      <c r="L24" s="22"/>
      <c r="M24" s="21"/>
      <c r="N24" s="22"/>
    </row>
    <row r="25" spans="1:14" ht="15.75" customHeight="1">
      <c r="A25" s="337" t="s">
        <v>22</v>
      </c>
      <c r="B25" s="94" t="s">
        <v>95</v>
      </c>
      <c r="C25" s="107">
        <v>1180</v>
      </c>
      <c r="D25" s="120">
        <f>(4.98+2.745+0.093)*1.075</f>
        <v>8.40435</v>
      </c>
      <c r="E25" s="339">
        <f>39+32</f>
        <v>71</v>
      </c>
      <c r="F25" s="330">
        <v>29.1</v>
      </c>
      <c r="G25" s="25">
        <v>846.5</v>
      </c>
      <c r="H25" s="15">
        <v>47.23</v>
      </c>
      <c r="I25" s="21"/>
      <c r="J25" s="22"/>
      <c r="K25" s="21"/>
      <c r="L25" s="22"/>
      <c r="M25" s="21"/>
      <c r="N25" s="22"/>
    </row>
    <row r="26" spans="1:14" ht="15" customHeight="1" thickBot="1">
      <c r="A26" s="338"/>
      <c r="B26" s="95" t="s">
        <v>112</v>
      </c>
      <c r="C26" s="105">
        <v>17.25</v>
      </c>
      <c r="D26" s="121">
        <f>(46.514*1.075)</f>
        <v>50.00255</v>
      </c>
      <c r="E26" s="340"/>
      <c r="F26" s="336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337" t="s">
        <v>23</v>
      </c>
      <c r="B27" s="94" t="s">
        <v>95</v>
      </c>
      <c r="C27" s="107">
        <v>1860</v>
      </c>
      <c r="D27" s="120">
        <f>5.75+2.745+0.093</f>
        <v>8.588000000000001</v>
      </c>
      <c r="E27" s="339">
        <f>94+63</f>
        <v>157</v>
      </c>
      <c r="F27" s="330">
        <v>29.1</v>
      </c>
      <c r="G27" s="25">
        <v>846.5</v>
      </c>
      <c r="H27" s="15">
        <v>47.23</v>
      </c>
      <c r="I27" s="4"/>
      <c r="J27" s="5"/>
      <c r="K27" s="4"/>
      <c r="L27" s="5"/>
      <c r="M27" s="4"/>
      <c r="N27" s="5"/>
    </row>
    <row r="28" spans="1:14" ht="13.5" thickBot="1">
      <c r="A28" s="338"/>
      <c r="B28" s="95" t="s">
        <v>112</v>
      </c>
      <c r="C28" s="105">
        <v>17.25</v>
      </c>
      <c r="D28" s="121">
        <v>46.514</v>
      </c>
      <c r="E28" s="340"/>
      <c r="F28" s="336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337" t="s">
        <v>24</v>
      </c>
      <c r="B29" s="94" t="s">
        <v>95</v>
      </c>
      <c r="C29" s="107">
        <v>2100</v>
      </c>
      <c r="D29" s="120">
        <f>5.75+2.745+0.093</f>
        <v>8.588000000000001</v>
      </c>
      <c r="E29" s="339">
        <v>66</v>
      </c>
      <c r="F29" s="330">
        <v>29.1</v>
      </c>
      <c r="G29" s="25">
        <v>846.5</v>
      </c>
      <c r="H29" s="15">
        <v>47.23</v>
      </c>
      <c r="I29" s="4"/>
      <c r="J29" s="5"/>
      <c r="K29" s="4"/>
      <c r="L29" s="5"/>
      <c r="M29" s="4"/>
      <c r="N29" s="5"/>
    </row>
    <row r="30" spans="1:14" ht="13.5" thickBot="1">
      <c r="A30" s="338"/>
      <c r="B30" s="95" t="s">
        <v>112</v>
      </c>
      <c r="C30" s="105">
        <v>17.25</v>
      </c>
      <c r="D30" s="121">
        <v>46.514</v>
      </c>
      <c r="E30" s="340"/>
      <c r="F30" s="336"/>
      <c r="G30" s="12">
        <v>4143</v>
      </c>
      <c r="H30" s="22">
        <v>5.81</v>
      </c>
      <c r="I30" s="4"/>
      <c r="J30" s="5"/>
      <c r="K30" s="4"/>
      <c r="L30" s="5"/>
      <c r="M30" s="4"/>
      <c r="N30" s="5"/>
    </row>
    <row r="31" spans="1:14" ht="12.75">
      <c r="A31" s="337" t="s">
        <v>25</v>
      </c>
      <c r="B31" s="94" t="s">
        <v>95</v>
      </c>
      <c r="C31" s="107">
        <v>2580</v>
      </c>
      <c r="D31" s="120">
        <f>5.75+2.745+0.093</f>
        <v>8.588000000000001</v>
      </c>
      <c r="E31" s="339">
        <v>54</v>
      </c>
      <c r="F31" s="330">
        <v>29.1</v>
      </c>
      <c r="G31" s="25">
        <v>846.5</v>
      </c>
      <c r="H31" s="15">
        <v>47.23</v>
      </c>
      <c r="I31" s="4"/>
      <c r="J31" s="5"/>
      <c r="K31" s="4"/>
      <c r="L31" s="5"/>
      <c r="M31" s="4"/>
      <c r="N31" s="5"/>
    </row>
    <row r="32" spans="1:14" ht="13.5" thickBot="1">
      <c r="A32" s="338"/>
      <c r="B32" s="95" t="s">
        <v>112</v>
      </c>
      <c r="C32" s="105">
        <v>17.25</v>
      </c>
      <c r="D32" s="121">
        <v>46.514</v>
      </c>
      <c r="E32" s="340"/>
      <c r="F32" s="336"/>
      <c r="G32" s="12">
        <v>39980.2</v>
      </c>
      <c r="H32" s="22">
        <v>5.81</v>
      </c>
      <c r="I32" s="4"/>
      <c r="J32" s="5"/>
      <c r="K32" s="4"/>
      <c r="L32" s="5"/>
      <c r="M32" s="4"/>
      <c r="N32" s="5"/>
    </row>
    <row r="33" spans="1:14" ht="12.75">
      <c r="A33" s="337" t="s">
        <v>26</v>
      </c>
      <c r="B33" s="94" t="s">
        <v>95</v>
      </c>
      <c r="C33" s="107"/>
      <c r="D33" s="120"/>
      <c r="E33" s="339"/>
      <c r="F33" s="330"/>
      <c r="G33" s="332"/>
      <c r="H33" s="330"/>
      <c r="I33" s="14"/>
      <c r="J33" s="15"/>
      <c r="K33" s="14"/>
      <c r="L33" s="15"/>
      <c r="M33" s="14"/>
      <c r="N33" s="15"/>
    </row>
    <row r="34" spans="1:14" ht="13.5" thickBot="1">
      <c r="A34" s="341"/>
      <c r="B34" s="95" t="s">
        <v>112</v>
      </c>
      <c r="C34" s="122"/>
      <c r="D34" s="121"/>
      <c r="E34" s="342"/>
      <c r="F34" s="331"/>
      <c r="G34" s="333"/>
      <c r="H34" s="331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7" t="s">
        <v>32</v>
      </c>
      <c r="B36" s="327"/>
      <c r="C36" s="327"/>
      <c r="D36" s="328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7" t="s">
        <v>35</v>
      </c>
      <c r="C38" s="327"/>
      <c r="D38" s="327"/>
      <c r="E38" s="328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7" t="s">
        <v>34</v>
      </c>
      <c r="C39" s="327"/>
      <c r="D39" s="327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68">
    <mergeCell ref="A23:A24"/>
    <mergeCell ref="E23:E24"/>
    <mergeCell ref="H19:H20"/>
    <mergeCell ref="E19:E20"/>
    <mergeCell ref="F19:F20"/>
    <mergeCell ref="H21:H22"/>
    <mergeCell ref="E21:E22"/>
    <mergeCell ref="F21:F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G21:G22"/>
    <mergeCell ref="G15:G16"/>
    <mergeCell ref="A11:A12"/>
    <mergeCell ref="A13:A14"/>
    <mergeCell ref="E11:E12"/>
    <mergeCell ref="F11:F12"/>
    <mergeCell ref="E13:E14"/>
    <mergeCell ref="F13:F14"/>
    <mergeCell ref="G11:G12"/>
    <mergeCell ref="E27:E28"/>
    <mergeCell ref="F27:F28"/>
    <mergeCell ref="A25:A26"/>
    <mergeCell ref="E25:E26"/>
    <mergeCell ref="F25:F26"/>
    <mergeCell ref="A27:A28"/>
    <mergeCell ref="A15:A16"/>
    <mergeCell ref="E15:E16"/>
    <mergeCell ref="F15:F16"/>
    <mergeCell ref="A21:A22"/>
    <mergeCell ref="F23:F24"/>
    <mergeCell ref="G23:G24"/>
    <mergeCell ref="F29:F30"/>
    <mergeCell ref="H33:H34"/>
    <mergeCell ref="F31:F32"/>
    <mergeCell ref="H23:H24"/>
    <mergeCell ref="A33:A34"/>
    <mergeCell ref="E33:E34"/>
    <mergeCell ref="F33:F34"/>
    <mergeCell ref="G33:G34"/>
    <mergeCell ref="A31:A32"/>
    <mergeCell ref="E31:E32"/>
    <mergeCell ref="A29:A30"/>
    <mergeCell ref="E29:E30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9">
      <selection activeCell="C44" sqref="C44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40" t="s">
        <v>29</v>
      </c>
      <c r="J1" s="440"/>
      <c r="K1" s="440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40" t="s">
        <v>2</v>
      </c>
      <c r="J2" s="440"/>
      <c r="K2" s="440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0" t="s">
        <v>3</v>
      </c>
      <c r="J3" s="440"/>
      <c r="K3" s="440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283" t="s">
        <v>27</v>
      </c>
      <c r="H9" s="284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2"/>
      <c r="B10" s="399"/>
      <c r="C10" s="342"/>
      <c r="D10" s="331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4" t="s">
        <v>95</v>
      </c>
      <c r="C11" s="204">
        <v>1780</v>
      </c>
      <c r="D11" s="224">
        <f>(5.48+3.138+0.093)*1.075</f>
        <v>9.364325</v>
      </c>
      <c r="E11" s="313">
        <v>108</v>
      </c>
      <c r="F11" s="326">
        <v>25.76</v>
      </c>
      <c r="G11" s="319">
        <f>317*84</f>
        <v>26628</v>
      </c>
      <c r="H11" s="330">
        <v>12.33</v>
      </c>
      <c r="I11" s="7"/>
      <c r="J11" s="8"/>
      <c r="K11" s="7"/>
      <c r="L11" s="8"/>
      <c r="M11" s="7"/>
      <c r="N11" s="8"/>
    </row>
    <row r="12" spans="1:14" ht="15.75" customHeight="1">
      <c r="A12" s="413"/>
      <c r="B12" s="97" t="s">
        <v>102</v>
      </c>
      <c r="C12" s="107">
        <v>890</v>
      </c>
      <c r="D12" s="223">
        <f>(3.49+0.784+0.093)*1.075</f>
        <v>4.694525</v>
      </c>
      <c r="E12" s="417"/>
      <c r="F12" s="309"/>
      <c r="G12" s="418"/>
      <c r="H12" s="309"/>
      <c r="I12" s="7"/>
      <c r="J12" s="8"/>
      <c r="K12" s="7"/>
      <c r="L12" s="8"/>
      <c r="M12" s="7"/>
      <c r="N12" s="8"/>
    </row>
    <row r="13" spans="1:14" ht="15.75" customHeight="1" thickBot="1">
      <c r="A13" s="413"/>
      <c r="B13" s="97" t="s">
        <v>114</v>
      </c>
      <c r="C13" s="107">
        <v>17.25</v>
      </c>
      <c r="D13" s="8">
        <f>46.514*1.075</f>
        <v>50.00255</v>
      </c>
      <c r="E13" s="417"/>
      <c r="F13" s="309"/>
      <c r="G13" s="418"/>
      <c r="H13" s="309"/>
      <c r="I13" s="7"/>
      <c r="J13" s="8"/>
      <c r="K13" s="7"/>
      <c r="L13" s="8"/>
      <c r="M13" s="7"/>
      <c r="N13" s="8"/>
    </row>
    <row r="14" spans="1:14" ht="15.75" customHeight="1">
      <c r="A14" s="412" t="s">
        <v>17</v>
      </c>
      <c r="B14" s="94" t="s">
        <v>95</v>
      </c>
      <c r="C14" s="205">
        <v>1620</v>
      </c>
      <c r="D14" s="224">
        <f>(5.48+3.138+0.093)*1.075</f>
        <v>9.364325</v>
      </c>
      <c r="E14" s="416">
        <v>88</v>
      </c>
      <c r="F14" s="429">
        <v>25.76</v>
      </c>
      <c r="G14" s="332">
        <f>317*84</f>
        <v>26628</v>
      </c>
      <c r="H14" s="330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413"/>
      <c r="B15" s="97" t="s">
        <v>102</v>
      </c>
      <c r="C15" s="107">
        <v>810</v>
      </c>
      <c r="D15" s="223">
        <f>(3.49+0.784+0.093)*1.075</f>
        <v>4.694525</v>
      </c>
      <c r="E15" s="417"/>
      <c r="F15" s="439"/>
      <c r="G15" s="418"/>
      <c r="H15" s="309"/>
      <c r="I15" s="7"/>
      <c r="J15" s="8"/>
      <c r="K15" s="7"/>
      <c r="L15" s="8"/>
      <c r="M15" s="7"/>
      <c r="N15" s="8"/>
    </row>
    <row r="16" spans="1:14" ht="15.75" customHeight="1" thickBot="1">
      <c r="A16" s="413"/>
      <c r="B16" s="97" t="s">
        <v>114</v>
      </c>
      <c r="C16" s="107">
        <v>17.25</v>
      </c>
      <c r="D16" s="8">
        <f>46.514*1.075</f>
        <v>50.00255</v>
      </c>
      <c r="E16" s="417"/>
      <c r="F16" s="439"/>
      <c r="G16" s="418"/>
      <c r="H16" s="309"/>
      <c r="I16" s="7"/>
      <c r="J16" s="8"/>
      <c r="K16" s="7"/>
      <c r="L16" s="8"/>
      <c r="M16" s="7"/>
      <c r="N16" s="8"/>
    </row>
    <row r="17" spans="1:14" ht="15.75" customHeight="1">
      <c r="A17" s="412" t="s">
        <v>18</v>
      </c>
      <c r="B17" s="94" t="s">
        <v>95</v>
      </c>
      <c r="C17" s="205">
        <v>2000</v>
      </c>
      <c r="D17" s="224">
        <f>(5.48+3.138+0.093)*1.075</f>
        <v>9.364325</v>
      </c>
      <c r="E17" s="416">
        <v>92</v>
      </c>
      <c r="F17" s="429">
        <v>25.76</v>
      </c>
      <c r="G17" s="332">
        <f>317*84</f>
        <v>26628</v>
      </c>
      <c r="H17" s="330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413"/>
      <c r="B18" s="97" t="s">
        <v>102</v>
      </c>
      <c r="C18" s="107">
        <v>1000</v>
      </c>
      <c r="D18" s="223">
        <f>(3.49+0.784+0.093)*1.075</f>
        <v>4.694525</v>
      </c>
      <c r="E18" s="417"/>
      <c r="F18" s="439"/>
      <c r="G18" s="418"/>
      <c r="H18" s="309"/>
      <c r="I18" s="7"/>
      <c r="J18" s="8"/>
      <c r="K18" s="7"/>
      <c r="L18" s="8"/>
      <c r="M18" s="7"/>
      <c r="N18" s="8"/>
    </row>
    <row r="19" spans="1:14" ht="15.75" customHeight="1" thickBot="1">
      <c r="A19" s="413"/>
      <c r="B19" s="97" t="s">
        <v>114</v>
      </c>
      <c r="C19" s="107">
        <v>17.25</v>
      </c>
      <c r="D19" s="8">
        <f>46.514*1.075</f>
        <v>50.00255</v>
      </c>
      <c r="E19" s="417"/>
      <c r="F19" s="439"/>
      <c r="G19" s="418"/>
      <c r="H19" s="309"/>
      <c r="I19" s="7"/>
      <c r="J19" s="8"/>
      <c r="K19" s="7"/>
      <c r="L19" s="8"/>
      <c r="M19" s="7"/>
      <c r="N19" s="8"/>
    </row>
    <row r="20" spans="1:14" ht="15" customHeight="1">
      <c r="A20" s="412" t="s">
        <v>19</v>
      </c>
      <c r="B20" s="94" t="s">
        <v>95</v>
      </c>
      <c r="C20" s="205">
        <v>2060</v>
      </c>
      <c r="D20" s="224">
        <f>(5.48+3.138+0.093)*1.075</f>
        <v>9.364325</v>
      </c>
      <c r="E20" s="416">
        <v>98</v>
      </c>
      <c r="F20" s="429">
        <v>25.76</v>
      </c>
      <c r="G20" s="332">
        <f>317*84</f>
        <v>26628</v>
      </c>
      <c r="H20" s="330">
        <v>12.33</v>
      </c>
      <c r="I20" s="14"/>
      <c r="J20" s="15"/>
      <c r="K20" s="14"/>
      <c r="L20" s="15"/>
      <c r="M20" s="14"/>
      <c r="N20" s="15"/>
    </row>
    <row r="21" spans="1:14" ht="15" customHeight="1">
      <c r="A21" s="413"/>
      <c r="B21" s="97" t="s">
        <v>102</v>
      </c>
      <c r="C21" s="107">
        <v>1030</v>
      </c>
      <c r="D21" s="223">
        <f>(3.49+0.784+0.093)*1.075</f>
        <v>4.694525</v>
      </c>
      <c r="E21" s="417"/>
      <c r="F21" s="439"/>
      <c r="G21" s="418"/>
      <c r="H21" s="309"/>
      <c r="I21" s="7"/>
      <c r="J21" s="8"/>
      <c r="K21" s="7"/>
      <c r="L21" s="8"/>
      <c r="M21" s="7"/>
      <c r="N21" s="8"/>
    </row>
    <row r="22" spans="1:14" ht="15" customHeight="1" thickBot="1">
      <c r="A22" s="413"/>
      <c r="B22" s="97" t="s">
        <v>114</v>
      </c>
      <c r="C22" s="107">
        <v>17.25</v>
      </c>
      <c r="D22" s="8">
        <f>46.514*1.075</f>
        <v>50.00255</v>
      </c>
      <c r="E22" s="417"/>
      <c r="F22" s="439"/>
      <c r="G22" s="418"/>
      <c r="H22" s="309"/>
      <c r="I22" s="7"/>
      <c r="J22" s="8"/>
      <c r="K22" s="7"/>
      <c r="L22" s="8"/>
      <c r="M22" s="7"/>
      <c r="N22" s="8"/>
    </row>
    <row r="23" spans="1:14" ht="12.75">
      <c r="A23" s="412" t="s">
        <v>20</v>
      </c>
      <c r="B23" s="94" t="s">
        <v>95</v>
      </c>
      <c r="C23" s="205">
        <v>1020</v>
      </c>
      <c r="D23" s="224">
        <f>(5.48+3.138+0.093)*1.075</f>
        <v>9.364325</v>
      </c>
      <c r="E23" s="416">
        <v>91</v>
      </c>
      <c r="F23" s="429">
        <v>25.76</v>
      </c>
      <c r="G23" s="332">
        <f>317*84</f>
        <v>26628</v>
      </c>
      <c r="H23" s="330">
        <v>12.33</v>
      </c>
      <c r="I23" s="14"/>
      <c r="J23" s="15"/>
      <c r="K23" s="14"/>
      <c r="L23" s="15"/>
      <c r="M23" s="14"/>
      <c r="N23" s="15"/>
    </row>
    <row r="24" spans="1:14" ht="12.75">
      <c r="A24" s="413"/>
      <c r="B24" s="97" t="s">
        <v>102</v>
      </c>
      <c r="C24" s="107">
        <v>510</v>
      </c>
      <c r="D24" s="223">
        <f>(3.49+0.784+0.093)*1.075</f>
        <v>4.694525</v>
      </c>
      <c r="E24" s="417"/>
      <c r="F24" s="439"/>
      <c r="G24" s="418"/>
      <c r="H24" s="309"/>
      <c r="I24" s="7"/>
      <c r="J24" s="8"/>
      <c r="K24" s="7"/>
      <c r="L24" s="8"/>
      <c r="M24" s="7"/>
      <c r="N24" s="8"/>
    </row>
    <row r="25" spans="1:14" ht="13.5" thickBot="1">
      <c r="A25" s="413"/>
      <c r="B25" s="97" t="s">
        <v>114</v>
      </c>
      <c r="C25" s="107">
        <v>17.25</v>
      </c>
      <c r="D25" s="8">
        <f>46.514*1.075</f>
        <v>50.00255</v>
      </c>
      <c r="E25" s="417"/>
      <c r="F25" s="439"/>
      <c r="G25" s="418"/>
      <c r="H25" s="309"/>
      <c r="I25" s="7"/>
      <c r="J25" s="8"/>
      <c r="K25" s="7"/>
      <c r="L25" s="8"/>
      <c r="M25" s="7"/>
      <c r="N25" s="8"/>
    </row>
    <row r="26" spans="1:14" ht="12.75">
      <c r="A26" s="412" t="s">
        <v>69</v>
      </c>
      <c r="B26" s="94" t="s">
        <v>95</v>
      </c>
      <c r="C26" s="106">
        <v>1200</v>
      </c>
      <c r="D26" s="224">
        <f>(5.48+3.138+0.093)*1.075</f>
        <v>9.364325</v>
      </c>
      <c r="E26" s="416">
        <v>104</v>
      </c>
      <c r="F26" s="429">
        <v>29.1</v>
      </c>
      <c r="G26" s="332">
        <f>317*84</f>
        <v>26628</v>
      </c>
      <c r="H26" s="330">
        <v>12.33</v>
      </c>
      <c r="I26" s="14"/>
      <c r="J26" s="15"/>
      <c r="K26" s="14"/>
      <c r="L26" s="15"/>
      <c r="M26" s="14"/>
      <c r="N26" s="15"/>
    </row>
    <row r="27" spans="1:14" ht="12.75">
      <c r="A27" s="413"/>
      <c r="B27" s="97" t="s">
        <v>102</v>
      </c>
      <c r="C27" s="107">
        <v>600</v>
      </c>
      <c r="D27" s="223">
        <f>(3.49+0.784+0.093)*1.075</f>
        <v>4.694525</v>
      </c>
      <c r="E27" s="417"/>
      <c r="F27" s="439"/>
      <c r="G27" s="418"/>
      <c r="H27" s="309"/>
      <c r="I27" s="7"/>
      <c r="J27" s="8"/>
      <c r="K27" s="7"/>
      <c r="L27" s="8"/>
      <c r="M27" s="7"/>
      <c r="N27" s="8"/>
    </row>
    <row r="28" spans="1:14" ht="13.5" thickBot="1">
      <c r="A28" s="413"/>
      <c r="B28" s="97" t="s">
        <v>114</v>
      </c>
      <c r="C28" s="107">
        <v>17.25</v>
      </c>
      <c r="D28" s="8">
        <f>46.514*1.075</f>
        <v>50.00255</v>
      </c>
      <c r="E28" s="417"/>
      <c r="F28" s="439"/>
      <c r="G28" s="418"/>
      <c r="H28" s="309"/>
      <c r="I28" s="7"/>
      <c r="J28" s="8"/>
      <c r="K28" s="7"/>
      <c r="L28" s="8"/>
      <c r="M28" s="7"/>
      <c r="N28" s="8"/>
    </row>
    <row r="29" spans="1:14" ht="12.75">
      <c r="A29" s="412" t="s">
        <v>70</v>
      </c>
      <c r="B29" s="94" t="s">
        <v>95</v>
      </c>
      <c r="C29" s="106">
        <v>940</v>
      </c>
      <c r="D29" s="224">
        <f>(5.48+3.138+0.093)*1.075</f>
        <v>9.364325</v>
      </c>
      <c r="E29" s="416">
        <v>97</v>
      </c>
      <c r="F29" s="330">
        <v>29.1</v>
      </c>
      <c r="G29" s="332">
        <f>317*84</f>
        <v>26628</v>
      </c>
      <c r="H29" s="330">
        <v>12.33</v>
      </c>
      <c r="I29" s="14"/>
      <c r="J29" s="15"/>
      <c r="K29" s="14"/>
      <c r="L29" s="15"/>
      <c r="M29" s="14"/>
      <c r="N29" s="15"/>
    </row>
    <row r="30" spans="1:14" ht="12.75">
      <c r="A30" s="413"/>
      <c r="B30" s="97" t="s">
        <v>102</v>
      </c>
      <c r="C30" s="107">
        <v>470</v>
      </c>
      <c r="D30" s="223">
        <f>(3.49+0.784+0.093)*1.075</f>
        <v>4.694525</v>
      </c>
      <c r="E30" s="417"/>
      <c r="F30" s="309"/>
      <c r="G30" s="418"/>
      <c r="H30" s="309"/>
      <c r="I30" s="7"/>
      <c r="J30" s="8"/>
      <c r="K30" s="7"/>
      <c r="L30" s="8"/>
      <c r="M30" s="7"/>
      <c r="N30" s="8"/>
    </row>
    <row r="31" spans="1:14" ht="12.75">
      <c r="A31" s="413"/>
      <c r="B31" s="97" t="s">
        <v>114</v>
      </c>
      <c r="C31" s="107">
        <v>17.25</v>
      </c>
      <c r="D31" s="8">
        <f>46.514*1.075</f>
        <v>50.00255</v>
      </c>
      <c r="E31" s="417"/>
      <c r="F31" s="309"/>
      <c r="G31" s="418"/>
      <c r="H31" s="309"/>
      <c r="I31" s="7"/>
      <c r="J31" s="8"/>
      <c r="K31" s="7"/>
      <c r="L31" s="8"/>
      <c r="M31" s="7"/>
      <c r="N31" s="8"/>
    </row>
    <row r="32" spans="1:14" ht="12.75">
      <c r="A32" s="412" t="s">
        <v>22</v>
      </c>
      <c r="B32" s="99" t="s">
        <v>95</v>
      </c>
      <c r="C32" s="106">
        <v>880</v>
      </c>
      <c r="D32" s="224">
        <f>(5.48+3.138+0.093)*1.075</f>
        <v>9.364325</v>
      </c>
      <c r="E32" s="416">
        <v>108</v>
      </c>
      <c r="F32" s="330">
        <v>29.1</v>
      </c>
      <c r="G32" s="25">
        <v>717.85</v>
      </c>
      <c r="H32" s="15">
        <v>47.23</v>
      </c>
      <c r="I32" s="21"/>
      <c r="J32" s="22"/>
      <c r="K32" s="21"/>
      <c r="L32" s="22"/>
      <c r="M32" s="21"/>
      <c r="N32" s="22"/>
    </row>
    <row r="33" spans="1:14" ht="12.75">
      <c r="A33" s="413"/>
      <c r="B33" s="95" t="s">
        <v>96</v>
      </c>
      <c r="C33" s="107">
        <v>440</v>
      </c>
      <c r="D33" s="223">
        <f>(3.49+0.784+0.093)*1.075</f>
        <v>4.694525</v>
      </c>
      <c r="E33" s="417"/>
      <c r="F33" s="309"/>
      <c r="G33" s="418">
        <v>0</v>
      </c>
      <c r="H33" s="309">
        <v>5.81</v>
      </c>
      <c r="I33" s="21"/>
      <c r="J33" s="22"/>
      <c r="K33" s="21"/>
      <c r="L33" s="22"/>
      <c r="M33" s="21"/>
      <c r="N33" s="22"/>
    </row>
    <row r="34" spans="1:14" ht="12.75">
      <c r="A34" s="413"/>
      <c r="B34" s="99" t="s">
        <v>114</v>
      </c>
      <c r="C34" s="107">
        <v>17.25</v>
      </c>
      <c r="D34" s="8">
        <f>46.514*1.075</f>
        <v>50.00255</v>
      </c>
      <c r="E34" s="417"/>
      <c r="F34" s="309"/>
      <c r="G34" s="320"/>
      <c r="H34" s="336"/>
      <c r="I34" s="21"/>
      <c r="J34" s="22"/>
      <c r="K34" s="21"/>
      <c r="L34" s="22"/>
      <c r="M34" s="21"/>
      <c r="N34" s="22"/>
    </row>
    <row r="35" spans="1:14" ht="12.75">
      <c r="A35" s="412" t="s">
        <v>23</v>
      </c>
      <c r="B35" s="99" t="s">
        <v>95</v>
      </c>
      <c r="C35" s="106">
        <v>1980</v>
      </c>
      <c r="D35" s="224">
        <f>6.39+3.138+0.093</f>
        <v>9.620999999999999</v>
      </c>
      <c r="E35" s="437">
        <v>53</v>
      </c>
      <c r="F35" s="330">
        <v>29.1</v>
      </c>
      <c r="G35" s="25">
        <v>717.85</v>
      </c>
      <c r="H35" s="15">
        <v>47.23</v>
      </c>
      <c r="I35" s="4"/>
      <c r="J35" s="5"/>
      <c r="K35" s="4"/>
      <c r="L35" s="5"/>
      <c r="M35" s="4"/>
      <c r="N35" s="5"/>
    </row>
    <row r="36" spans="1:14" ht="15" customHeight="1">
      <c r="A36" s="413"/>
      <c r="B36" s="95" t="s">
        <v>96</v>
      </c>
      <c r="C36" s="107">
        <v>0</v>
      </c>
      <c r="D36" s="223">
        <f>4.05+0.784+0.093</f>
        <v>4.927</v>
      </c>
      <c r="E36" s="438"/>
      <c r="F36" s="309"/>
      <c r="G36" s="418">
        <v>0</v>
      </c>
      <c r="H36" s="309">
        <v>5.81</v>
      </c>
      <c r="I36" s="4"/>
      <c r="J36" s="5"/>
      <c r="K36" s="4"/>
      <c r="L36" s="5"/>
      <c r="M36" s="4"/>
      <c r="N36" s="5"/>
    </row>
    <row r="37" spans="1:14" ht="15" customHeight="1">
      <c r="A37" s="413"/>
      <c r="B37" s="99" t="s">
        <v>95</v>
      </c>
      <c r="C37" s="107">
        <v>17.25</v>
      </c>
      <c r="D37" s="8">
        <v>46.514</v>
      </c>
      <c r="E37" s="438"/>
      <c r="F37" s="309"/>
      <c r="G37" s="320"/>
      <c r="H37" s="336"/>
      <c r="I37" s="4"/>
      <c r="J37" s="5"/>
      <c r="K37" s="4"/>
      <c r="L37" s="5"/>
      <c r="M37" s="4"/>
      <c r="N37" s="5"/>
    </row>
    <row r="38" spans="1:14" ht="12.75">
      <c r="A38" s="412" t="s">
        <v>24</v>
      </c>
      <c r="B38" s="99" t="s">
        <v>95</v>
      </c>
      <c r="C38" s="106">
        <v>2550</v>
      </c>
      <c r="D38" s="224">
        <f>6.39+3.138+0.093</f>
        <v>9.620999999999999</v>
      </c>
      <c r="E38" s="416">
        <f>129</f>
        <v>129</v>
      </c>
      <c r="F38" s="330">
        <v>29.1</v>
      </c>
      <c r="G38" s="25">
        <v>717.85</v>
      </c>
      <c r="H38" s="15">
        <v>47.23</v>
      </c>
      <c r="I38" s="4"/>
      <c r="J38" s="5"/>
      <c r="K38" s="4"/>
      <c r="L38" s="5"/>
      <c r="M38" s="4"/>
      <c r="N38" s="5"/>
    </row>
    <row r="39" spans="1:14" ht="15" customHeight="1" thickBot="1">
      <c r="A39" s="413"/>
      <c r="B39" s="101" t="s">
        <v>96</v>
      </c>
      <c r="C39" s="107">
        <v>0</v>
      </c>
      <c r="D39" s="223">
        <f>4.05+0.784+0.093</f>
        <v>4.927</v>
      </c>
      <c r="E39" s="417"/>
      <c r="F39" s="309"/>
      <c r="G39" s="418">
        <v>9350</v>
      </c>
      <c r="H39" s="309">
        <v>5.81</v>
      </c>
      <c r="I39" s="4"/>
      <c r="J39" s="5"/>
      <c r="K39" s="4"/>
      <c r="L39" s="5"/>
      <c r="M39" s="4"/>
      <c r="N39" s="5"/>
    </row>
    <row r="40" spans="1:14" ht="15" customHeight="1">
      <c r="A40" s="413"/>
      <c r="B40" s="99" t="s">
        <v>95</v>
      </c>
      <c r="C40" s="107">
        <v>17.25</v>
      </c>
      <c r="D40" s="8">
        <v>46.514</v>
      </c>
      <c r="E40" s="417"/>
      <c r="F40" s="309"/>
      <c r="G40" s="320"/>
      <c r="H40" s="336"/>
      <c r="I40" s="4"/>
      <c r="J40" s="5"/>
      <c r="K40" s="4"/>
      <c r="L40" s="5"/>
      <c r="M40" s="4"/>
      <c r="N40" s="5"/>
    </row>
    <row r="41" spans="1:14" ht="12.75">
      <c r="A41" s="412" t="s">
        <v>25</v>
      </c>
      <c r="B41" s="99" t="s">
        <v>95</v>
      </c>
      <c r="C41" s="106">
        <v>3180</v>
      </c>
      <c r="D41" s="224">
        <f>6.39+3.138+0.093</f>
        <v>9.620999999999999</v>
      </c>
      <c r="E41" s="416">
        <v>118</v>
      </c>
      <c r="F41" s="330">
        <v>29.1</v>
      </c>
      <c r="G41" s="25">
        <v>717.85</v>
      </c>
      <c r="H41" s="15">
        <v>47.23</v>
      </c>
      <c r="I41" s="4"/>
      <c r="J41" s="5"/>
      <c r="K41" s="4"/>
      <c r="L41" s="5"/>
      <c r="M41" s="4"/>
      <c r="N41" s="5"/>
    </row>
    <row r="42" spans="1:14" ht="15" customHeight="1" thickBot="1">
      <c r="A42" s="413"/>
      <c r="B42" s="101" t="s">
        <v>96</v>
      </c>
      <c r="C42" s="107">
        <v>0</v>
      </c>
      <c r="D42" s="223">
        <f>4.05+0.784+0.093</f>
        <v>4.927</v>
      </c>
      <c r="E42" s="417"/>
      <c r="F42" s="309"/>
      <c r="G42" s="418">
        <v>33904.05</v>
      </c>
      <c r="H42" s="309">
        <v>5.81</v>
      </c>
      <c r="I42" s="4"/>
      <c r="J42" s="5"/>
      <c r="K42" s="4"/>
      <c r="L42" s="5"/>
      <c r="M42" s="4"/>
      <c r="N42" s="5"/>
    </row>
    <row r="43" spans="1:14" ht="15" customHeight="1" thickBot="1">
      <c r="A43" s="413"/>
      <c r="B43" s="99" t="s">
        <v>95</v>
      </c>
      <c r="C43" s="107">
        <v>17.25</v>
      </c>
      <c r="D43" s="8">
        <v>46.514</v>
      </c>
      <c r="E43" s="417"/>
      <c r="F43" s="309"/>
      <c r="G43" s="320"/>
      <c r="H43" s="336"/>
      <c r="I43" s="14"/>
      <c r="J43" s="15"/>
      <c r="K43" s="14"/>
      <c r="L43" s="15"/>
      <c r="M43" s="14"/>
      <c r="N43" s="15"/>
    </row>
    <row r="44" spans="1:14" ht="12.75">
      <c r="A44" s="406" t="s">
        <v>26</v>
      </c>
      <c r="B44" s="193" t="s">
        <v>95</v>
      </c>
      <c r="C44" s="77"/>
      <c r="D44" s="224"/>
      <c r="E44" s="431"/>
      <c r="F44" s="433"/>
      <c r="G44" s="435"/>
      <c r="H44" s="400"/>
      <c r="I44" s="177"/>
      <c r="J44" s="178"/>
      <c r="K44" s="177"/>
      <c r="L44" s="178"/>
      <c r="M44" s="177"/>
      <c r="N44" s="178"/>
    </row>
    <row r="45" spans="1:14" ht="15" customHeight="1" thickBot="1">
      <c r="A45" s="407"/>
      <c r="B45" s="195" t="s">
        <v>96</v>
      </c>
      <c r="C45" s="78"/>
      <c r="D45" s="223"/>
      <c r="E45" s="324"/>
      <c r="F45" s="309"/>
      <c r="G45" s="418"/>
      <c r="H45" s="401"/>
      <c r="I45" s="200"/>
      <c r="J45" s="116"/>
      <c r="K45" s="200"/>
      <c r="L45" s="116"/>
      <c r="M45" s="200"/>
      <c r="N45" s="116"/>
    </row>
    <row r="46" spans="1:14" ht="15" customHeight="1" thickBot="1">
      <c r="A46" s="408"/>
      <c r="B46" s="196" t="s">
        <v>95</v>
      </c>
      <c r="C46" s="148"/>
      <c r="D46" s="8"/>
      <c r="E46" s="432"/>
      <c r="F46" s="434"/>
      <c r="G46" s="436"/>
      <c r="H46" s="402"/>
      <c r="I46" s="201"/>
      <c r="J46" s="117"/>
      <c r="K46" s="201"/>
      <c r="L46" s="117"/>
      <c r="M46" s="201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7" t="s">
        <v>32</v>
      </c>
      <c r="B48" s="327"/>
      <c r="C48" s="327"/>
      <c r="D48" s="328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7" t="s">
        <v>35</v>
      </c>
      <c r="C50" s="327"/>
      <c r="D50" s="327"/>
      <c r="E50" s="328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7" t="s">
        <v>34</v>
      </c>
      <c r="C51" s="327"/>
      <c r="D51" s="32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A38:A40"/>
    <mergeCell ref="E38:E40"/>
    <mergeCell ref="F38:F40"/>
    <mergeCell ref="G39:G40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A20:A22"/>
    <mergeCell ref="E20:E22"/>
    <mergeCell ref="F20:F22"/>
    <mergeCell ref="G20:G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G36:G37"/>
    <mergeCell ref="H36:H37"/>
    <mergeCell ref="H29:H31"/>
    <mergeCell ref="A29:A31"/>
    <mergeCell ref="E29:E31"/>
    <mergeCell ref="F29:F31"/>
    <mergeCell ref="G29:G31"/>
    <mergeCell ref="G42:G43"/>
    <mergeCell ref="H42:H43"/>
    <mergeCell ref="A32:A34"/>
    <mergeCell ref="E32:E34"/>
    <mergeCell ref="F32:F34"/>
    <mergeCell ref="A35:A37"/>
    <mergeCell ref="F35:F37"/>
    <mergeCell ref="E35:E37"/>
    <mergeCell ref="G33:G34"/>
    <mergeCell ref="H33:H34"/>
    <mergeCell ref="B9:C10"/>
    <mergeCell ref="H44:H46"/>
    <mergeCell ref="A44:A46"/>
    <mergeCell ref="E44:E46"/>
    <mergeCell ref="F44:F46"/>
    <mergeCell ref="G44:G46"/>
    <mergeCell ref="A41:A43"/>
    <mergeCell ref="E41:E43"/>
    <mergeCell ref="F41:F43"/>
    <mergeCell ref="H39:H40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0">
      <selection activeCell="D31" sqref="D31:D32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40" t="s">
        <v>29</v>
      </c>
      <c r="J1" s="440"/>
      <c r="K1" s="440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40" t="s">
        <v>2</v>
      </c>
      <c r="J2" s="440"/>
      <c r="K2" s="440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40" t="s">
        <v>3</v>
      </c>
      <c r="J3" s="440"/>
      <c r="K3" s="440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444" t="s">
        <v>27</v>
      </c>
      <c r="H9" s="445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2"/>
      <c r="B10" s="399"/>
      <c r="C10" s="342"/>
      <c r="D10" s="331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4" t="s">
        <v>95</v>
      </c>
      <c r="C11" s="204">
        <v>1920</v>
      </c>
      <c r="D11" s="224">
        <f>(4.98+2.745+0.093)*1.075</f>
        <v>8.40435</v>
      </c>
      <c r="E11" s="313">
        <v>181</v>
      </c>
      <c r="F11" s="326">
        <f>19.95+5.81</f>
        <v>25.759999999999998</v>
      </c>
      <c r="G11" s="319">
        <f>150*84</f>
        <v>12600</v>
      </c>
      <c r="H11" s="442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26"/>
      <c r="B12" s="95" t="s">
        <v>114</v>
      </c>
      <c r="C12" s="202">
        <v>17.25</v>
      </c>
      <c r="D12" s="22">
        <f>46.514*1.075</f>
        <v>50.00255</v>
      </c>
      <c r="E12" s="428"/>
      <c r="F12" s="336"/>
      <c r="G12" s="320"/>
      <c r="H12" s="443"/>
      <c r="I12" s="21"/>
      <c r="J12" s="22"/>
      <c r="K12" s="21"/>
      <c r="L12" s="22"/>
      <c r="M12" s="21"/>
      <c r="N12" s="22"/>
    </row>
    <row r="13" spans="1:14" ht="15" customHeight="1" thickTop="1">
      <c r="A13" s="412" t="s">
        <v>17</v>
      </c>
      <c r="B13" s="97" t="s">
        <v>95</v>
      </c>
      <c r="C13" s="108">
        <v>1440</v>
      </c>
      <c r="D13" s="224">
        <f>(4.98+2.745+0.093)*1.075</f>
        <v>8.40435</v>
      </c>
      <c r="E13" s="416">
        <v>165</v>
      </c>
      <c r="F13" s="330">
        <v>25.76</v>
      </c>
      <c r="G13" s="332">
        <f>150*84</f>
        <v>12600</v>
      </c>
      <c r="H13" s="442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426"/>
      <c r="B14" s="97" t="s">
        <v>96</v>
      </c>
      <c r="C14" s="203">
        <v>17.25</v>
      </c>
      <c r="D14" s="22">
        <f>46.514*1.075</f>
        <v>50.00255</v>
      </c>
      <c r="E14" s="428"/>
      <c r="F14" s="336"/>
      <c r="G14" s="320"/>
      <c r="H14" s="443"/>
      <c r="I14" s="7"/>
      <c r="J14" s="8"/>
      <c r="K14" s="7"/>
      <c r="L14" s="8"/>
      <c r="M14" s="7"/>
      <c r="N14" s="8"/>
    </row>
    <row r="15" spans="1:14" ht="15" customHeight="1" thickTop="1">
      <c r="A15" s="412" t="s">
        <v>18</v>
      </c>
      <c r="B15" s="99" t="s">
        <v>95</v>
      </c>
      <c r="C15" s="205">
        <v>1320</v>
      </c>
      <c r="D15" s="224">
        <f>(4.98+2.745+0.093)*1.075</f>
        <v>8.40435</v>
      </c>
      <c r="E15" s="416">
        <v>141</v>
      </c>
      <c r="F15" s="330">
        <v>25.76</v>
      </c>
      <c r="G15" s="332">
        <f>150*84</f>
        <v>12600</v>
      </c>
      <c r="H15" s="442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426"/>
      <c r="B16" s="95" t="s">
        <v>96</v>
      </c>
      <c r="C16" s="202">
        <v>17.25</v>
      </c>
      <c r="D16" s="22">
        <f>46.514*1.075</f>
        <v>50.00255</v>
      </c>
      <c r="E16" s="428"/>
      <c r="F16" s="336"/>
      <c r="G16" s="320"/>
      <c r="H16" s="443"/>
      <c r="I16" s="21"/>
      <c r="J16" s="22"/>
      <c r="K16" s="21"/>
      <c r="L16" s="22"/>
      <c r="M16" s="21"/>
      <c r="N16" s="22"/>
    </row>
    <row r="17" spans="1:14" ht="15" customHeight="1" thickTop="1">
      <c r="A17" s="412" t="s">
        <v>19</v>
      </c>
      <c r="B17" s="99" t="s">
        <v>95</v>
      </c>
      <c r="C17" s="205">
        <v>1110</v>
      </c>
      <c r="D17" s="216">
        <v>8.404</v>
      </c>
      <c r="E17" s="416">
        <v>73</v>
      </c>
      <c r="F17" s="330">
        <v>25.76</v>
      </c>
      <c r="G17" s="332">
        <v>12600</v>
      </c>
      <c r="H17" s="442">
        <v>12.33</v>
      </c>
      <c r="I17" s="14"/>
      <c r="J17" s="15"/>
      <c r="K17" s="14"/>
      <c r="L17" s="15"/>
      <c r="M17" s="14"/>
      <c r="N17" s="15"/>
    </row>
    <row r="18" spans="1:14" ht="13.5" thickBot="1">
      <c r="A18" s="426"/>
      <c r="B18" s="95" t="s">
        <v>96</v>
      </c>
      <c r="C18" s="105">
        <v>17.25</v>
      </c>
      <c r="D18" s="218">
        <v>50.003</v>
      </c>
      <c r="E18" s="428"/>
      <c r="F18" s="336"/>
      <c r="G18" s="320"/>
      <c r="H18" s="443"/>
      <c r="I18" s="21"/>
      <c r="J18" s="22"/>
      <c r="K18" s="21"/>
      <c r="L18" s="22"/>
      <c r="M18" s="21"/>
      <c r="N18" s="22"/>
    </row>
    <row r="19" spans="1:14" ht="13.5" thickTop="1">
      <c r="A19" s="412" t="s">
        <v>20</v>
      </c>
      <c r="B19" s="99" t="s">
        <v>95</v>
      </c>
      <c r="C19" s="205">
        <v>810</v>
      </c>
      <c r="D19" s="216">
        <v>8.404</v>
      </c>
      <c r="E19" s="416">
        <v>273</v>
      </c>
      <c r="F19" s="330">
        <v>25.76</v>
      </c>
      <c r="G19" s="332">
        <f>150*84</f>
        <v>12600</v>
      </c>
      <c r="H19" s="442">
        <v>12.33</v>
      </c>
      <c r="I19" s="14"/>
      <c r="J19" s="15"/>
      <c r="K19" s="14"/>
      <c r="L19" s="15"/>
      <c r="M19" s="14"/>
      <c r="N19" s="15"/>
    </row>
    <row r="20" spans="1:14" ht="13.5" thickBot="1">
      <c r="A20" s="426"/>
      <c r="B20" s="95" t="s">
        <v>96</v>
      </c>
      <c r="C20" s="105">
        <v>17.25</v>
      </c>
      <c r="D20" s="218">
        <v>50.003</v>
      </c>
      <c r="E20" s="428"/>
      <c r="F20" s="336"/>
      <c r="G20" s="320"/>
      <c r="H20" s="443"/>
      <c r="I20" s="21"/>
      <c r="J20" s="22"/>
      <c r="K20" s="21"/>
      <c r="L20" s="22"/>
      <c r="M20" s="21"/>
      <c r="N20" s="22"/>
    </row>
    <row r="21" spans="1:14" ht="13.5" thickTop="1">
      <c r="A21" s="412" t="s">
        <v>69</v>
      </c>
      <c r="B21" s="99" t="s">
        <v>95</v>
      </c>
      <c r="C21" s="106">
        <v>720</v>
      </c>
      <c r="D21" s="216">
        <v>8.404</v>
      </c>
      <c r="E21" s="416">
        <v>199</v>
      </c>
      <c r="F21" s="330">
        <f>22.54+6.56</f>
        <v>29.099999999999998</v>
      </c>
      <c r="G21" s="332">
        <f>150*84</f>
        <v>12600</v>
      </c>
      <c r="H21" s="442">
        <v>12.33</v>
      </c>
      <c r="I21" s="14"/>
      <c r="J21" s="15"/>
      <c r="K21" s="14"/>
      <c r="L21" s="15"/>
      <c r="M21" s="14"/>
      <c r="N21" s="15"/>
    </row>
    <row r="22" spans="1:14" ht="13.5" thickBot="1">
      <c r="A22" s="426"/>
      <c r="B22" s="95" t="s">
        <v>96</v>
      </c>
      <c r="C22" s="105">
        <v>17.25</v>
      </c>
      <c r="D22" s="218">
        <v>50.003</v>
      </c>
      <c r="E22" s="428"/>
      <c r="F22" s="336"/>
      <c r="G22" s="320"/>
      <c r="H22" s="443"/>
      <c r="I22" s="21"/>
      <c r="J22" s="22"/>
      <c r="K22" s="21"/>
      <c r="L22" s="22"/>
      <c r="M22" s="21"/>
      <c r="N22" s="22"/>
    </row>
    <row r="23" spans="1:14" ht="13.5" thickTop="1">
      <c r="A23" s="412" t="s">
        <v>70</v>
      </c>
      <c r="B23" s="99" t="s">
        <v>95</v>
      </c>
      <c r="C23" s="106">
        <v>810</v>
      </c>
      <c r="D23" s="216">
        <v>8.404</v>
      </c>
      <c r="E23" s="416">
        <v>200</v>
      </c>
      <c r="F23" s="330">
        <v>29.1</v>
      </c>
      <c r="G23" s="332">
        <f>150*84</f>
        <v>12600</v>
      </c>
      <c r="H23" s="442">
        <v>12.33</v>
      </c>
      <c r="I23" s="14"/>
      <c r="J23" s="15"/>
      <c r="K23" s="14"/>
      <c r="L23" s="15"/>
      <c r="M23" s="14"/>
      <c r="N23" s="15"/>
    </row>
    <row r="24" spans="1:14" ht="13.5" thickBot="1">
      <c r="A24" s="426"/>
      <c r="B24" s="95" t="s">
        <v>96</v>
      </c>
      <c r="C24" s="105">
        <v>17.25</v>
      </c>
      <c r="D24" s="218">
        <v>50.003</v>
      </c>
      <c r="E24" s="428"/>
      <c r="F24" s="336"/>
      <c r="G24" s="320"/>
      <c r="H24" s="443"/>
      <c r="I24" s="21"/>
      <c r="J24" s="22"/>
      <c r="K24" s="21"/>
      <c r="L24" s="22"/>
      <c r="M24" s="21"/>
      <c r="N24" s="22"/>
    </row>
    <row r="25" spans="1:14" ht="13.5" thickTop="1">
      <c r="A25" s="412" t="s">
        <v>22</v>
      </c>
      <c r="B25" s="99" t="s">
        <v>95</v>
      </c>
      <c r="C25" s="106">
        <v>810</v>
      </c>
      <c r="D25" s="216">
        <v>8.404</v>
      </c>
      <c r="E25" s="416">
        <v>200</v>
      </c>
      <c r="F25" s="330">
        <v>29.1</v>
      </c>
      <c r="G25" s="25">
        <v>1091</v>
      </c>
      <c r="H25" s="15">
        <v>47.23</v>
      </c>
      <c r="I25" s="21"/>
      <c r="J25" s="22"/>
      <c r="K25" s="21"/>
      <c r="L25" s="22"/>
      <c r="M25" s="21"/>
      <c r="N25" s="22"/>
    </row>
    <row r="26" spans="1:14" ht="12.75">
      <c r="A26" s="426"/>
      <c r="B26" s="95" t="s">
        <v>96</v>
      </c>
      <c r="C26" s="105">
        <v>17.25</v>
      </c>
      <c r="D26" s="218">
        <v>50.003</v>
      </c>
      <c r="E26" s="428"/>
      <c r="F26" s="336"/>
      <c r="G26" s="12">
        <v>0</v>
      </c>
      <c r="H26" s="22">
        <v>5.81</v>
      </c>
      <c r="I26" s="4"/>
      <c r="J26" s="5"/>
      <c r="K26" s="4"/>
      <c r="L26" s="5"/>
      <c r="M26" s="4"/>
      <c r="N26" s="5"/>
    </row>
    <row r="27" spans="1:14" ht="12.75">
      <c r="A27" s="412" t="s">
        <v>23</v>
      </c>
      <c r="B27" s="99" t="s">
        <v>95</v>
      </c>
      <c r="C27" s="106">
        <v>1110</v>
      </c>
      <c r="D27" s="224">
        <f>5.75+2.745+0.093</f>
        <v>8.588000000000001</v>
      </c>
      <c r="E27" s="416">
        <v>105</v>
      </c>
      <c r="F27" s="330">
        <v>29.1</v>
      </c>
      <c r="G27" s="25">
        <v>1091</v>
      </c>
      <c r="H27" s="15">
        <v>47.23</v>
      </c>
      <c r="I27" s="4"/>
      <c r="J27" s="5"/>
      <c r="K27" s="4"/>
      <c r="L27" s="5"/>
      <c r="M27" s="4"/>
      <c r="N27" s="5"/>
    </row>
    <row r="28" spans="1:14" ht="12.75">
      <c r="A28" s="426"/>
      <c r="B28" s="95" t="s">
        <v>96</v>
      </c>
      <c r="C28" s="105">
        <v>17.25</v>
      </c>
      <c r="D28" s="22">
        <f>46.514</f>
        <v>46.514</v>
      </c>
      <c r="E28" s="428"/>
      <c r="F28" s="336"/>
      <c r="G28" s="12">
        <v>0</v>
      </c>
      <c r="H28" s="22">
        <v>5.81</v>
      </c>
      <c r="I28" s="4"/>
      <c r="J28" s="5"/>
      <c r="K28" s="4"/>
      <c r="L28" s="5"/>
      <c r="M28" s="4"/>
      <c r="N28" s="5"/>
    </row>
    <row r="29" spans="1:14" ht="12.75">
      <c r="A29" s="412" t="s">
        <v>24</v>
      </c>
      <c r="B29" s="99" t="s">
        <v>95</v>
      </c>
      <c r="C29" s="106">
        <v>1530</v>
      </c>
      <c r="D29" s="224">
        <f>5.75+2.745+0.093</f>
        <v>8.588000000000001</v>
      </c>
      <c r="E29" s="416">
        <v>234</v>
      </c>
      <c r="F29" s="330">
        <v>29.1</v>
      </c>
      <c r="G29" s="25">
        <v>1091</v>
      </c>
      <c r="H29" s="15">
        <v>47.23</v>
      </c>
      <c r="I29" s="4"/>
      <c r="J29" s="5"/>
      <c r="K29" s="4"/>
      <c r="L29" s="5"/>
      <c r="M29" s="4"/>
      <c r="N29" s="5"/>
    </row>
    <row r="30" spans="1:14" ht="12.75">
      <c r="A30" s="426"/>
      <c r="B30" s="95" t="s">
        <v>96</v>
      </c>
      <c r="C30" s="105">
        <v>17.25</v>
      </c>
      <c r="D30" s="22">
        <f>46.514</f>
        <v>46.514</v>
      </c>
      <c r="E30" s="428"/>
      <c r="F30" s="336"/>
      <c r="G30" s="12">
        <v>5542</v>
      </c>
      <c r="H30" s="22">
        <v>5.81</v>
      </c>
      <c r="I30" s="4"/>
      <c r="J30" s="5"/>
      <c r="K30" s="4"/>
      <c r="L30" s="5"/>
      <c r="M30" s="4"/>
      <c r="N30" s="5"/>
    </row>
    <row r="31" spans="1:14" ht="12.75">
      <c r="A31" s="412" t="s">
        <v>25</v>
      </c>
      <c r="B31" s="99" t="s">
        <v>95</v>
      </c>
      <c r="C31" s="106">
        <v>1350</v>
      </c>
      <c r="D31" s="224">
        <f>5.75+2.745+0.093</f>
        <v>8.588000000000001</v>
      </c>
      <c r="E31" s="416">
        <v>189</v>
      </c>
      <c r="F31" s="330">
        <v>29.1</v>
      </c>
      <c r="G31" s="25">
        <v>1091</v>
      </c>
      <c r="H31" s="15">
        <v>47.23</v>
      </c>
      <c r="I31" s="4"/>
      <c r="J31" s="5"/>
      <c r="K31" s="4"/>
      <c r="L31" s="5"/>
      <c r="M31" s="4"/>
      <c r="N31" s="5"/>
    </row>
    <row r="32" spans="1:14" ht="12.75">
      <c r="A32" s="426"/>
      <c r="B32" s="95" t="s">
        <v>96</v>
      </c>
      <c r="C32" s="105">
        <v>17.25</v>
      </c>
      <c r="D32" s="22">
        <f>46.514</f>
        <v>46.514</v>
      </c>
      <c r="E32" s="428"/>
      <c r="F32" s="336"/>
      <c r="G32" s="12">
        <v>51527.93</v>
      </c>
      <c r="H32" s="22">
        <v>5.81</v>
      </c>
      <c r="I32" s="4"/>
      <c r="J32" s="5"/>
      <c r="K32" s="4"/>
      <c r="L32" s="5"/>
      <c r="M32" s="4"/>
      <c r="N32" s="5"/>
    </row>
    <row r="33" spans="1:14" ht="12.75">
      <c r="A33" s="412" t="s">
        <v>26</v>
      </c>
      <c r="B33" s="99" t="s">
        <v>95</v>
      </c>
      <c r="C33" s="106"/>
      <c r="D33" s="224"/>
      <c r="E33" s="416"/>
      <c r="F33" s="330"/>
      <c r="G33" s="332"/>
      <c r="H33" s="330"/>
      <c r="I33" s="14"/>
      <c r="J33" s="15"/>
      <c r="K33" s="14"/>
      <c r="L33" s="15"/>
      <c r="M33" s="14"/>
      <c r="N33" s="15"/>
    </row>
    <row r="34" spans="1:14" ht="13.5" thickBot="1">
      <c r="A34" s="446"/>
      <c r="B34" s="101" t="s">
        <v>96</v>
      </c>
      <c r="C34" s="105"/>
      <c r="D34" s="22"/>
      <c r="E34" s="314"/>
      <c r="F34" s="331"/>
      <c r="G34" s="333"/>
      <c r="H34" s="331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7"/>
      <c r="B36" s="327"/>
      <c r="C36" s="327"/>
      <c r="D36" s="328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7"/>
      <c r="C38" s="327"/>
      <c r="D38" s="327"/>
      <c r="E38" s="328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7"/>
      <c r="C39" s="327"/>
      <c r="D39" s="327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1">
    <mergeCell ref="A33:A34"/>
    <mergeCell ref="A29:A30"/>
    <mergeCell ref="E29:E30"/>
    <mergeCell ref="F29:F30"/>
    <mergeCell ref="A31:A32"/>
    <mergeCell ref="E31:E32"/>
    <mergeCell ref="F31:F32"/>
    <mergeCell ref="A27:A28"/>
    <mergeCell ref="E27:E28"/>
    <mergeCell ref="F27:F28"/>
    <mergeCell ref="G21:G22"/>
    <mergeCell ref="G23:G24"/>
    <mergeCell ref="A25:A26"/>
    <mergeCell ref="E25:E26"/>
    <mergeCell ref="F25:F26"/>
    <mergeCell ref="A23:A24"/>
    <mergeCell ref="E23:E24"/>
    <mergeCell ref="H21:H22"/>
    <mergeCell ref="A19:A20"/>
    <mergeCell ref="E19:E20"/>
    <mergeCell ref="A21:A22"/>
    <mergeCell ref="E21:E22"/>
    <mergeCell ref="F21:F22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7:A18"/>
    <mergeCell ref="E17:E18"/>
    <mergeCell ref="F17:F18"/>
    <mergeCell ref="G17:G18"/>
    <mergeCell ref="A11:A12"/>
    <mergeCell ref="A13:A14"/>
    <mergeCell ref="A15:A16"/>
    <mergeCell ref="E15:E16"/>
    <mergeCell ref="F23:F24"/>
    <mergeCell ref="B9:C10"/>
    <mergeCell ref="H33:H34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3">
      <selection activeCell="C44" sqref="C44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40" t="s">
        <v>29</v>
      </c>
      <c r="J1" s="440"/>
      <c r="K1" s="440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40" t="s">
        <v>2</v>
      </c>
      <c r="J2" s="440"/>
      <c r="K2" s="440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0" t="s">
        <v>3</v>
      </c>
      <c r="J3" s="440"/>
      <c r="K3" s="44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9" t="s">
        <v>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3.5" thickBot="1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6.5" thickBot="1" thickTop="1">
      <c r="A8" s="310" t="s">
        <v>6</v>
      </c>
      <c r="B8" s="317" t="s">
        <v>7</v>
      </c>
      <c r="C8" s="285"/>
      <c r="D8" s="318"/>
      <c r="E8" s="317" t="s">
        <v>11</v>
      </c>
      <c r="F8" s="318"/>
      <c r="G8" s="306" t="s">
        <v>15</v>
      </c>
      <c r="H8" s="307"/>
      <c r="I8" s="307"/>
      <c r="J8" s="307"/>
      <c r="K8" s="307"/>
      <c r="L8" s="307"/>
      <c r="M8" s="307"/>
      <c r="N8" s="308"/>
    </row>
    <row r="9" spans="1:14" ht="13.5" thickTop="1">
      <c r="A9" s="311"/>
      <c r="B9" s="321" t="s">
        <v>8</v>
      </c>
      <c r="C9" s="322"/>
      <c r="D9" s="326" t="s">
        <v>9</v>
      </c>
      <c r="E9" s="313" t="s">
        <v>10</v>
      </c>
      <c r="F9" s="326" t="s">
        <v>9</v>
      </c>
      <c r="G9" s="283" t="s">
        <v>27</v>
      </c>
      <c r="H9" s="284"/>
      <c r="I9" s="315" t="s">
        <v>28</v>
      </c>
      <c r="J9" s="316"/>
      <c r="K9" s="315" t="s">
        <v>13</v>
      </c>
      <c r="L9" s="316"/>
      <c r="M9" s="315" t="s">
        <v>14</v>
      </c>
      <c r="N9" s="316"/>
    </row>
    <row r="10" spans="1:14" ht="15" thickBot="1">
      <c r="A10" s="312"/>
      <c r="B10" s="399"/>
      <c r="C10" s="342"/>
      <c r="D10" s="331"/>
      <c r="E10" s="314"/>
      <c r="F10" s="33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4" t="s">
        <v>95</v>
      </c>
      <c r="C11" s="204">
        <v>4766</v>
      </c>
      <c r="D11" s="228">
        <f>(5.48+2.233+0.093)*1.075</f>
        <v>8.39145</v>
      </c>
      <c r="E11" s="313">
        <v>15</v>
      </c>
      <c r="F11" s="326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3"/>
      <c r="B12" s="97" t="s">
        <v>102</v>
      </c>
      <c r="C12" s="108">
        <v>2047</v>
      </c>
      <c r="D12" s="229">
        <f>(3.49+0.744+0.093)*1.075</f>
        <v>4.6515249999999995</v>
      </c>
      <c r="E12" s="417"/>
      <c r="F12" s="309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26"/>
      <c r="B13" s="95" t="s">
        <v>114</v>
      </c>
      <c r="C13" s="105">
        <v>21.1</v>
      </c>
      <c r="D13" s="230">
        <v>203.81</v>
      </c>
      <c r="E13" s="428"/>
      <c r="F13" s="336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12" t="s">
        <v>17</v>
      </c>
      <c r="B14" s="94" t="s">
        <v>95</v>
      </c>
      <c r="C14" s="205">
        <v>346</v>
      </c>
      <c r="D14" s="228">
        <f>(5.48+2.233+0.093)*1.075</f>
        <v>8.39145</v>
      </c>
      <c r="E14" s="416">
        <v>5</v>
      </c>
      <c r="F14" s="429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3"/>
      <c r="B15" s="97" t="s">
        <v>102</v>
      </c>
      <c r="C15" s="108">
        <v>95</v>
      </c>
      <c r="D15" s="229">
        <f>(3.49+0.744+0.093)*1.075</f>
        <v>4.6515249999999995</v>
      </c>
      <c r="E15" s="417"/>
      <c r="F15" s="439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26"/>
      <c r="B16" s="95" t="s">
        <v>114</v>
      </c>
      <c r="C16" s="105">
        <v>21.1</v>
      </c>
      <c r="D16" s="230">
        <v>203.81</v>
      </c>
      <c r="E16" s="428"/>
      <c r="F16" s="430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12" t="s">
        <v>18</v>
      </c>
      <c r="B17" s="94" t="s">
        <v>95</v>
      </c>
      <c r="C17" s="205">
        <v>3333</v>
      </c>
      <c r="D17" s="228">
        <f>(5.48+2.233+0.093)*1.075</f>
        <v>8.39145</v>
      </c>
      <c r="E17" s="416">
        <v>27</v>
      </c>
      <c r="F17" s="429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3"/>
      <c r="B18" s="97" t="s">
        <v>102</v>
      </c>
      <c r="C18" s="108">
        <v>1321</v>
      </c>
      <c r="D18" s="229">
        <f>(3.49+0.744+0.093)*1.075</f>
        <v>4.6515249999999995</v>
      </c>
      <c r="E18" s="417"/>
      <c r="F18" s="439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26"/>
      <c r="B19" s="95" t="s">
        <v>114</v>
      </c>
      <c r="C19" s="105">
        <v>21.1</v>
      </c>
      <c r="D19" s="230">
        <v>160.007</v>
      </c>
      <c r="E19" s="428"/>
      <c r="F19" s="430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12" t="s">
        <v>19</v>
      </c>
      <c r="B20" s="94" t="s">
        <v>95</v>
      </c>
      <c r="C20" s="205">
        <v>2272</v>
      </c>
      <c r="D20" s="228">
        <f>(5.48+2.233+0.093)*1.075</f>
        <v>8.39145</v>
      </c>
      <c r="E20" s="416">
        <v>25</v>
      </c>
      <c r="F20" s="429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3"/>
      <c r="B21" s="97" t="s">
        <v>102</v>
      </c>
      <c r="C21" s="107">
        <v>883</v>
      </c>
      <c r="D21" s="229">
        <f>(3.49+0.744+0.093)*1.075</f>
        <v>4.6515249999999995</v>
      </c>
      <c r="E21" s="417"/>
      <c r="F21" s="439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26"/>
      <c r="B22" s="95" t="s">
        <v>114</v>
      </c>
      <c r="C22" s="105">
        <v>21</v>
      </c>
      <c r="D22" s="230">
        <v>160.007</v>
      </c>
      <c r="E22" s="428"/>
      <c r="F22" s="430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412" t="s">
        <v>20</v>
      </c>
      <c r="B23" s="94" t="s">
        <v>95</v>
      </c>
      <c r="C23" s="106">
        <v>893</v>
      </c>
      <c r="D23" s="228">
        <f>(5.48+2.233+0.093)*1.075</f>
        <v>8.39145</v>
      </c>
      <c r="E23" s="416">
        <v>33</v>
      </c>
      <c r="F23" s="429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3"/>
      <c r="B24" s="97" t="s">
        <v>102</v>
      </c>
      <c r="C24" s="107">
        <v>202</v>
      </c>
      <c r="D24" s="229">
        <f>(3.49+0.744+0.093)*1.075</f>
        <v>4.6515249999999995</v>
      </c>
      <c r="E24" s="417"/>
      <c r="F24" s="439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26"/>
      <c r="B25" s="95" t="s">
        <v>114</v>
      </c>
      <c r="C25" s="105">
        <v>21.1</v>
      </c>
      <c r="D25" s="230">
        <v>160.007</v>
      </c>
      <c r="E25" s="428"/>
      <c r="F25" s="430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412" t="s">
        <v>69</v>
      </c>
      <c r="B26" s="94" t="s">
        <v>95</v>
      </c>
      <c r="C26" s="106">
        <v>420</v>
      </c>
      <c r="D26" s="228">
        <f>(5.48+2.233+0.093)*1.075</f>
        <v>8.39145</v>
      </c>
      <c r="E26" s="416">
        <v>28</v>
      </c>
      <c r="F26" s="429">
        <v>29.1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3"/>
      <c r="B27" s="97" t="s">
        <v>102</v>
      </c>
      <c r="C27" s="107">
        <v>83</v>
      </c>
      <c r="D27" s="229">
        <f>(3.49+0.744+0.093)*1.075</f>
        <v>4.6515249999999995</v>
      </c>
      <c r="E27" s="417"/>
      <c r="F27" s="439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26"/>
      <c r="B28" s="95" t="s">
        <v>114</v>
      </c>
      <c r="C28" s="105">
        <v>21.1</v>
      </c>
      <c r="D28" s="230">
        <v>160.007</v>
      </c>
      <c r="E28" s="428"/>
      <c r="F28" s="430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412" t="s">
        <v>70</v>
      </c>
      <c r="B29" s="94" t="s">
        <v>95</v>
      </c>
      <c r="C29" s="106">
        <v>112</v>
      </c>
      <c r="D29" s="228">
        <f>(5.48+2.233+0.093)*1.075</f>
        <v>8.39145</v>
      </c>
      <c r="E29" s="416">
        <v>15</v>
      </c>
      <c r="F29" s="330">
        <v>29.1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3"/>
      <c r="B30" s="97" t="s">
        <v>102</v>
      </c>
      <c r="C30" s="107">
        <v>57</v>
      </c>
      <c r="D30" s="229">
        <f>(3.49+0.744+0.093)*1.075</f>
        <v>4.6515249999999995</v>
      </c>
      <c r="E30" s="417"/>
      <c r="F30" s="309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26"/>
      <c r="B31" s="95" t="s">
        <v>114</v>
      </c>
      <c r="C31" s="105">
        <v>21.1</v>
      </c>
      <c r="D31" s="230">
        <v>160.007</v>
      </c>
      <c r="E31" s="428"/>
      <c r="F31" s="336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412" t="s">
        <v>22</v>
      </c>
      <c r="B32" s="94" t="s">
        <v>95</v>
      </c>
      <c r="C32" s="106">
        <v>334</v>
      </c>
      <c r="D32" s="248">
        <f>(5.48+2.233+0.093)*1.075</f>
        <v>8.39145</v>
      </c>
      <c r="E32" s="416">
        <v>16</v>
      </c>
      <c r="F32" s="330">
        <v>29.1</v>
      </c>
      <c r="G32" s="416"/>
      <c r="H32" s="330"/>
      <c r="I32" s="21"/>
      <c r="J32" s="22"/>
      <c r="K32" s="21"/>
      <c r="L32" s="22"/>
      <c r="M32" s="21"/>
      <c r="N32" s="22"/>
    </row>
    <row r="33" spans="1:14" ht="12.75">
      <c r="A33" s="413"/>
      <c r="B33" s="97" t="s">
        <v>102</v>
      </c>
      <c r="C33" s="107">
        <v>92</v>
      </c>
      <c r="D33" s="249">
        <f>(3.49+0.744+0.093)*1.075</f>
        <v>4.6515249999999995</v>
      </c>
      <c r="E33" s="417"/>
      <c r="F33" s="309"/>
      <c r="G33" s="417"/>
      <c r="H33" s="309"/>
      <c r="I33" s="21"/>
      <c r="J33" s="22"/>
      <c r="K33" s="21"/>
      <c r="L33" s="22"/>
      <c r="M33" s="21"/>
      <c r="N33" s="22"/>
    </row>
    <row r="34" spans="1:14" ht="12.75">
      <c r="A34" s="426"/>
      <c r="B34" s="95" t="s">
        <v>114</v>
      </c>
      <c r="C34" s="105">
        <v>21.1</v>
      </c>
      <c r="D34" s="230">
        <v>160.007</v>
      </c>
      <c r="E34" s="428"/>
      <c r="F34" s="336"/>
      <c r="G34" s="428"/>
      <c r="H34" s="336"/>
      <c r="I34" s="4"/>
      <c r="J34" s="5"/>
      <c r="K34" s="4"/>
      <c r="L34" s="5"/>
      <c r="M34" s="4"/>
      <c r="N34" s="5"/>
    </row>
    <row r="35" spans="1:14" ht="12.75">
      <c r="A35" s="412" t="s">
        <v>23</v>
      </c>
      <c r="B35" s="99" t="s">
        <v>95</v>
      </c>
      <c r="C35" s="106">
        <v>553</v>
      </c>
      <c r="D35" s="248">
        <f>6.39+2.233+0.093</f>
        <v>8.716</v>
      </c>
      <c r="E35" s="416">
        <v>43</v>
      </c>
      <c r="F35" s="330">
        <v>29.1</v>
      </c>
      <c r="G35" s="21"/>
      <c r="H35" s="22"/>
      <c r="I35" s="4"/>
      <c r="J35" s="5"/>
      <c r="K35" s="4"/>
      <c r="L35" s="5"/>
      <c r="M35" s="4"/>
      <c r="N35" s="5"/>
    </row>
    <row r="36" spans="1:14" ht="12.75">
      <c r="A36" s="413"/>
      <c r="B36" s="95" t="s">
        <v>96</v>
      </c>
      <c r="C36" s="107">
        <v>80</v>
      </c>
      <c r="D36" s="249">
        <f>4.05+0.744+0.093</f>
        <v>4.887</v>
      </c>
      <c r="E36" s="417"/>
      <c r="F36" s="309"/>
      <c r="G36" s="21"/>
      <c r="H36" s="22"/>
      <c r="I36" s="4"/>
      <c r="J36" s="5"/>
      <c r="K36" s="4"/>
      <c r="L36" s="5"/>
      <c r="M36" s="4"/>
      <c r="N36" s="5"/>
    </row>
    <row r="37" spans="1:14" ht="12.75">
      <c r="A37" s="426"/>
      <c r="B37" s="95" t="s">
        <v>108</v>
      </c>
      <c r="C37" s="105">
        <v>21.1</v>
      </c>
      <c r="D37" s="230">
        <v>148.844</v>
      </c>
      <c r="E37" s="428"/>
      <c r="F37" s="336"/>
      <c r="G37" s="4"/>
      <c r="H37" s="5"/>
      <c r="I37" s="4"/>
      <c r="J37" s="5"/>
      <c r="K37" s="4"/>
      <c r="L37" s="5"/>
      <c r="M37" s="4"/>
      <c r="N37" s="5"/>
    </row>
    <row r="38" spans="1:14" ht="12.75">
      <c r="A38" s="412" t="s">
        <v>24</v>
      </c>
      <c r="B38" s="99" t="s">
        <v>95</v>
      </c>
      <c r="C38" s="106">
        <v>1684</v>
      </c>
      <c r="D38" s="248">
        <f>6.39+2.233+0.093</f>
        <v>8.716</v>
      </c>
      <c r="E38" s="416">
        <v>45</v>
      </c>
      <c r="F38" s="330">
        <v>29.1</v>
      </c>
      <c r="G38" s="4"/>
      <c r="H38" s="5"/>
      <c r="I38" s="4"/>
      <c r="J38" s="5"/>
      <c r="K38" s="4"/>
      <c r="L38" s="5"/>
      <c r="M38" s="4"/>
      <c r="N38" s="5"/>
    </row>
    <row r="39" spans="1:14" ht="12.75">
      <c r="A39" s="413"/>
      <c r="B39" s="95" t="s">
        <v>96</v>
      </c>
      <c r="C39" s="107">
        <v>533</v>
      </c>
      <c r="D39" s="249">
        <f>4.05+0.744+0.093</f>
        <v>4.887</v>
      </c>
      <c r="E39" s="417"/>
      <c r="F39" s="309"/>
      <c r="G39" s="4"/>
      <c r="H39" s="5"/>
      <c r="I39" s="4"/>
      <c r="J39" s="5"/>
      <c r="K39" s="4"/>
      <c r="L39" s="5"/>
      <c r="M39" s="4"/>
      <c r="N39" s="5"/>
    </row>
    <row r="40" spans="1:14" ht="12.75">
      <c r="A40" s="426"/>
      <c r="B40" s="95" t="s">
        <v>108</v>
      </c>
      <c r="C40" s="105">
        <v>21.1</v>
      </c>
      <c r="D40" s="230">
        <v>148.844</v>
      </c>
      <c r="E40" s="428"/>
      <c r="F40" s="336"/>
      <c r="G40" s="4"/>
      <c r="H40" s="5"/>
      <c r="I40" s="4"/>
      <c r="J40" s="5"/>
      <c r="K40" s="4"/>
      <c r="L40" s="5"/>
      <c r="M40" s="4"/>
      <c r="N40" s="5"/>
    </row>
    <row r="41" spans="1:14" ht="12.75">
      <c r="A41" s="412" t="s">
        <v>25</v>
      </c>
      <c r="B41" s="99" t="s">
        <v>95</v>
      </c>
      <c r="C41" s="106">
        <v>3038</v>
      </c>
      <c r="D41" s="248">
        <f>6.39+2.233+0.093</f>
        <v>8.716</v>
      </c>
      <c r="E41" s="416">
        <v>34</v>
      </c>
      <c r="F41" s="330">
        <v>29.1</v>
      </c>
      <c r="G41" s="4"/>
      <c r="H41" s="5"/>
      <c r="I41" s="4"/>
      <c r="J41" s="5"/>
      <c r="K41" s="4"/>
      <c r="L41" s="5"/>
      <c r="M41" s="4"/>
      <c r="N41" s="5"/>
    </row>
    <row r="42" spans="1:14" ht="12.75">
      <c r="A42" s="413"/>
      <c r="B42" s="95" t="s">
        <v>96</v>
      </c>
      <c r="C42" s="107">
        <v>1061</v>
      </c>
      <c r="D42" s="249">
        <f>4.05+0.744+0.093</f>
        <v>4.887</v>
      </c>
      <c r="E42" s="417"/>
      <c r="F42" s="309"/>
      <c r="G42" s="4"/>
      <c r="H42" s="5"/>
      <c r="I42" s="4"/>
      <c r="J42" s="5"/>
      <c r="K42" s="4"/>
      <c r="L42" s="5"/>
      <c r="M42" s="4"/>
      <c r="N42" s="5"/>
    </row>
    <row r="43" spans="1:14" ht="12.75">
      <c r="A43" s="426"/>
      <c r="B43" s="95" t="s">
        <v>108</v>
      </c>
      <c r="C43" s="105">
        <v>21.1</v>
      </c>
      <c r="D43" s="230">
        <v>148.844</v>
      </c>
      <c r="E43" s="428"/>
      <c r="F43" s="336"/>
      <c r="G43" s="4"/>
      <c r="H43" s="5"/>
      <c r="I43" s="4"/>
      <c r="J43" s="5"/>
      <c r="K43" s="4"/>
      <c r="L43" s="5"/>
      <c r="M43" s="4"/>
      <c r="N43" s="5"/>
    </row>
    <row r="44" spans="1:14" ht="12.75">
      <c r="A44" s="412" t="s">
        <v>26</v>
      </c>
      <c r="B44" s="99" t="s">
        <v>95</v>
      </c>
      <c r="C44" s="106"/>
      <c r="D44" s="228"/>
      <c r="E44" s="416"/>
      <c r="F44" s="330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3"/>
      <c r="B45" s="95" t="s">
        <v>96</v>
      </c>
      <c r="C45" s="107"/>
      <c r="D45" s="229"/>
      <c r="E45" s="417"/>
      <c r="F45" s="309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6"/>
      <c r="B46" s="95" t="s">
        <v>108</v>
      </c>
      <c r="C46" s="105"/>
      <c r="D46" s="230"/>
      <c r="E46" s="314"/>
      <c r="F46" s="331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7" t="s">
        <v>32</v>
      </c>
      <c r="B48" s="327"/>
      <c r="C48" s="327"/>
      <c r="D48" s="328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7" t="s">
        <v>35</v>
      </c>
      <c r="C50" s="327"/>
      <c r="D50" s="327"/>
      <c r="E50" s="328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7" t="s">
        <v>34</v>
      </c>
      <c r="C51" s="327"/>
      <c r="D51" s="32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2017-12-26T10:45:00Z</dcterms:modified>
  <cp:category/>
  <cp:version/>
  <cp:contentType/>
  <cp:contentStatus/>
</cp:coreProperties>
</file>